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threadedComments/threadedComment5.xml" ContentType="application/vnd.ms-excel.threadedcomments+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https://aitonline.sharepoint.com/sites/PLENTY-LIFEAITinternal/Shared Documents/General/Knowledge Transfer Platform/"/>
    </mc:Choice>
  </mc:AlternateContent>
  <xr:revisionPtr revIDLastSave="7" documentId="8_{1AC9A13C-274D-4103-A025-A9DD039B50A6}" xr6:coauthVersionLast="47" xr6:coauthVersionMax="47" xr10:uidLastSave="{DFB54FEF-F8A6-4847-AF8C-EA31C4C46D54}"/>
  <bookViews>
    <workbookView xWindow="28680" yWindow="-120" windowWidth="25440" windowHeight="15270" tabRatio="726" firstSheet="2" activeTab="2" xr2:uid="{00000000-000D-0000-FFFF-FFFF00000000}"/>
  </bookViews>
  <sheets>
    <sheet name="Description1" sheetId="26" r:id="rId1"/>
    <sheet name="Glossary" sheetId="24" r:id="rId2"/>
    <sheet name="Energy Balance" sheetId="13" r:id="rId3"/>
    <sheet name="Population &amp; GDP" sheetId="1" r:id="rId4"/>
    <sheet name="DD, Degree days" sheetId="20" r:id="rId5"/>
    <sheet name="Household Energy Factors" sheetId="3" r:id="rId6"/>
    <sheet name="Service" sheetId="10" r:id="rId7"/>
    <sheet name="ACM-Energy factors" sheetId="6" r:id="rId8"/>
    <sheet name="MAN-Energy Factors" sheetId="7" r:id="rId9"/>
    <sheet name="Urban Freight Transp." sheetId="8" r:id="rId10"/>
    <sheet name="Passenger Transp." sheetId="9" r:id="rId11"/>
    <sheet name="Convs" sheetId="25" r:id="rId12"/>
    <sheet name="RE-Potential_descr. " sheetId="27" r:id="rId13"/>
    <sheet name="Solar potential" sheetId="28" r:id="rId14"/>
    <sheet name="Wind" sheetId="29" r:id="rId15"/>
    <sheet name="Others" sheetId="30" r:id="rId16"/>
    <sheet name="Example for energy balances" sheetId="23" state="hidden" r:id="rId17"/>
    <sheet name="Converter" sheetId="17" state="hidden" r:id="rId18"/>
    <sheet name="Duke UK 2016" sheetId="19" state="hidden" r:id="rId19"/>
  </sheets>
  <externalReferences>
    <externalReference r:id="rId20"/>
    <externalReference r:id="rId21"/>
    <externalReference r:id="rId22"/>
    <externalReference r:id="rId23"/>
  </externalReferences>
  <definedNames>
    <definedName name="_40d55a4c_STF_Fuss_1_CN1" localSheetId="0">[1]insgesamt!#REF!</definedName>
    <definedName name="_40d55a4c_STF_Fuss_1_CN1" localSheetId="16">[1]insgesamt!#REF!</definedName>
    <definedName name="_40d55a4c_STF_Fuss_1_CN1">[1]insgesamt!#REF!</definedName>
    <definedName name="_40d55a4c_STF_Koerper_1_CN1" localSheetId="0">[1]insgesamt!#REF!</definedName>
    <definedName name="_40d55a4c_STF_Koerper_1_CN1" localSheetId="16">[1]insgesamt!#REF!</definedName>
    <definedName name="_40d55a4c_STF_Koerper_1_CN1">[1]insgesamt!#REF!</definedName>
    <definedName name="_40d55a4c_STF_Tabellenkopf_1_CN1" localSheetId="0">[1]insgesamt!#REF!</definedName>
    <definedName name="_40d55a4c_STF_Tabellenkopf_1_CN1">[1]insgesamt!#REF!</definedName>
    <definedName name="_40d55a4c_STF_Titel_1_CN1">[1]insgesamt!#REF!</definedName>
    <definedName name="_40d55a4c_STF_Vorspalte_1_CN1">[1]insgesamt!#REF!</definedName>
    <definedName name="_5aa259c1_STF_Fuss_1_CN1" localSheetId="16">#REF!</definedName>
    <definedName name="_5aa259c1_STF_Fuss_1_CN1">#REF!</definedName>
    <definedName name="_5aa259c1_STF_Koerper_1_CN1" localSheetId="16">#REF!</definedName>
    <definedName name="_5aa259c1_STF_Koerper_1_CN1">#REF!</definedName>
    <definedName name="_5aa259c1_STF_Tabellenkopf_1_CN1" localSheetId="16">#REF!</definedName>
    <definedName name="_5aa259c1_STF_Tabellenkopf_1_CN1">#REF!</definedName>
    <definedName name="_5aa259c1_STF_Titel_1_CN1">#REF!</definedName>
    <definedName name="_5aa259c1_STF_Vorspalte_1_CN1">#REF!</definedName>
    <definedName name="_944826ad_STF_Fuss_1_CN1" localSheetId="16">#REF!</definedName>
    <definedName name="_944826ad_STF_Fuss_1_CN1">'[2]Stromverbrauch HH-Stat. Austria'!#REF!</definedName>
    <definedName name="_944826ad_STF_Koerper_1_CN1" localSheetId="16">#REF!</definedName>
    <definedName name="_944826ad_STF_Koerper_1_CN1">'[2]Stromverbrauch HH-Stat. Austria'!#REF!</definedName>
    <definedName name="_944826ad_STF_Tabellenkopf_1_CN1" localSheetId="16">#REF!</definedName>
    <definedName name="_944826ad_STF_Tabellenkopf_1_CN1">'[2]Stromverbrauch HH-Stat. Austria'!#REF!</definedName>
    <definedName name="_944826ad_STF_Titel_1_CN1" localSheetId="16">#REF!</definedName>
    <definedName name="_944826ad_STF_Titel_1_CN1">'[2]Stromverbrauch HH-Stat. Austria'!#REF!</definedName>
    <definedName name="_944826ad_STF_Vorspalte_1_CN1" localSheetId="16">#REF!</definedName>
    <definedName name="_944826ad_STF_Vorspalte_1_CN1">'[2]Stromverbrauch HH-Stat. Austria'!#REF!</definedName>
    <definedName name="_a780286f_STF_Fuss_1_CN1" localSheetId="16">[1]Heizungsart!#REF!</definedName>
    <definedName name="_a780286f_STF_Fuss_1_CN1">[1]Heizungsart!#REF!</definedName>
    <definedName name="_a780286f_STF_Koerper_1_CN1" localSheetId="16">[1]Heizungsart!#REF!</definedName>
    <definedName name="_a780286f_STF_Koerper_1_CN1">[1]Heizungsart!#REF!</definedName>
    <definedName name="_a780286f_STF_Tabellenkopf_1_CN1" localSheetId="16">[1]Heizungsart!#REF!</definedName>
    <definedName name="_a780286f_STF_Tabellenkopf_1_CN1">[1]Heizungsart!#REF!</definedName>
    <definedName name="_a780286f_STF_Titel_1_CN1" localSheetId="16">[1]Heizungsart!#REF!</definedName>
    <definedName name="_a780286f_STF_Titel_1_CN1">[1]Heizungsart!#REF!</definedName>
    <definedName name="_a780286f_STF_Vorspalte_1_CN1">[1]Heizungsart!#REF!</definedName>
    <definedName name="_d8957e54_STF_Fuss_1_CN1">[1]Wohnungsgröße!#REF!</definedName>
    <definedName name="_d8957e54_STF_Koerper_1_CN1">[1]Wohnungsgröße!#REF!</definedName>
    <definedName name="_d8957e54_STF_Tabellenkopf_1_CN1">[1]Wohnungsgröße!#REF!</definedName>
    <definedName name="_d8957e54_STF_Titel_1_CN1">[1]Wohnungsgröße!#REF!</definedName>
    <definedName name="_d8957e54_STF_Vorspalte_1_CN1">[1]Wohnungsgröße!#REF!</definedName>
    <definedName name="_d8957e54_STF_Vorspalte_1_CN2">[1]Wohnungsgröße!#REF!</definedName>
    <definedName name="_f9cd212c_STF_Fuss_1_CN1">#REF!</definedName>
    <definedName name="_f9cd212c_STF_Koerper_1_CN1">#REF!</definedName>
    <definedName name="_f9cd212c_STF_Tabellenkopf_1_CN1">#REF!</definedName>
    <definedName name="_f9cd212c_STF_Tabellenkopf_1_CN2">#REF!</definedName>
    <definedName name="_f9cd212c_STF_Titel_1_CN1">#REF!</definedName>
    <definedName name="_f9cd212c_STF_Vorspalte_1_CN1">#REF!</definedName>
    <definedName name="All_TP" localSheetId="11">#REF!,#REF!,#REF!</definedName>
    <definedName name="All_TP" localSheetId="0">#REF!,#REF!,#REF!</definedName>
    <definedName name="All_TP" localSheetId="16">#REF!,#REF!,#REF!</definedName>
    <definedName name="All_TP">#REF!,#REF!,#REF!</definedName>
    <definedName name="All_US" localSheetId="11">#REF!,#REF!,#REF!</definedName>
    <definedName name="All_US" localSheetId="16">#REF!,#REF!,#REF!</definedName>
    <definedName name="All_US">#REF!,#REF!,#REF!</definedName>
    <definedName name="body1ea" localSheetId="11">#REF!</definedName>
    <definedName name="body1ea" localSheetId="16">#REF!</definedName>
    <definedName name="body1ea">#REF!</definedName>
    <definedName name="body1eb" localSheetId="11">#REF!</definedName>
    <definedName name="body1eb" localSheetId="16">#REF!</definedName>
    <definedName name="body1eb">#REF!</definedName>
    <definedName name="body1fa" localSheetId="11">#REF!</definedName>
    <definedName name="body1fa" localSheetId="16">#REF!</definedName>
    <definedName name="body1fa">#REF!</definedName>
    <definedName name="body1fb" localSheetId="11">#REF!</definedName>
    <definedName name="body1fb">#REF!</definedName>
    <definedName name="body1ga" localSheetId="11">#REF!</definedName>
    <definedName name="body1ga">#REF!</definedName>
    <definedName name="body1gb" localSheetId="11">#REF!</definedName>
    <definedName name="body1gb">#REF!</definedName>
    <definedName name="body2ea" localSheetId="11">#REF!</definedName>
    <definedName name="body2ea">#REF!</definedName>
    <definedName name="body2eb" localSheetId="11">#REF!</definedName>
    <definedName name="body2eb">#REF!</definedName>
    <definedName name="body2f" localSheetId="11">#REF!</definedName>
    <definedName name="body2f">#REF!</definedName>
    <definedName name="body2fa" localSheetId="11">#REF!</definedName>
    <definedName name="body2fa">#REF!</definedName>
    <definedName name="body2fb" localSheetId="11">#REF!</definedName>
    <definedName name="body2fb">#REF!</definedName>
    <definedName name="body2ga" localSheetId="11">#REF!</definedName>
    <definedName name="body2ga">#REF!</definedName>
    <definedName name="body2gb" localSheetId="11">#REF!</definedName>
    <definedName name="body2gb">#REF!</definedName>
    <definedName name="body3ea" localSheetId="11">#REF!</definedName>
    <definedName name="body3ea">#REF!</definedName>
    <definedName name="body3eb" localSheetId="11">#REF!</definedName>
    <definedName name="body3eb">#REF!</definedName>
    <definedName name="body3fa" localSheetId="11">#REF!</definedName>
    <definedName name="body3fa">#REF!</definedName>
    <definedName name="body3fb" localSheetId="11">#REF!</definedName>
    <definedName name="body3fb">#REF!</definedName>
    <definedName name="body3ga" localSheetId="11">#REF!</definedName>
    <definedName name="body3ga">#REF!</definedName>
    <definedName name="body3gb" localSheetId="11">#REF!</definedName>
    <definedName name="body3gb">#REF!</definedName>
    <definedName name="body4ea" localSheetId="11">#REF!</definedName>
    <definedName name="body4ea">#REF!</definedName>
    <definedName name="body4eb" localSheetId="11">#REF!</definedName>
    <definedName name="body4eb">#REF!</definedName>
    <definedName name="body4f" localSheetId="11">#REF!</definedName>
    <definedName name="body4f">#REF!</definedName>
    <definedName name="body4fa" localSheetId="11">#REF!</definedName>
    <definedName name="body4fa">#REF!</definedName>
    <definedName name="body4fb" localSheetId="11">#REF!</definedName>
    <definedName name="body4fb">#REF!</definedName>
    <definedName name="body4fb2">#REF!</definedName>
    <definedName name="body4ga" localSheetId="11">#REF!</definedName>
    <definedName name="body4ga">#REF!</definedName>
    <definedName name="body4gb" localSheetId="11">#REF!</definedName>
    <definedName name="body4gb">#REF!</definedName>
    <definedName name="CFG_CFG" localSheetId="11">#REF!</definedName>
    <definedName name="CFG_CFG">#REF!</definedName>
    <definedName name="CON">#REF!</definedName>
    <definedName name="countrye" localSheetId="11">#REF!</definedName>
    <definedName name="countrye">#REF!</definedName>
    <definedName name="countryf" localSheetId="11">#REF!</definedName>
    <definedName name="countryf">#REF!</definedName>
    <definedName name="countryg" localSheetId="11">#REF!</definedName>
    <definedName name="countryg">#REF!</definedName>
    <definedName name="CRF_CountryName">[3]Sheet1!$C$4</definedName>
    <definedName name="dd" localSheetId="16">#REF!</definedName>
    <definedName name="dd">#REF!</definedName>
    <definedName name="dddd" localSheetId="16">#REF!</definedName>
    <definedName name="dddd">#REF!</definedName>
    <definedName name="_xlnm.Print_Area" localSheetId="11">Convs!$A$1:$K$13</definedName>
    <definedName name="_xlnm.Print_Area" localSheetId="18">'Duke UK 2016'!$A$2:$K$71</definedName>
    <definedName name="L_SS" localSheetId="0">#REF!</definedName>
    <definedName name="L_SS" localSheetId="16">#REF!</definedName>
    <definedName name="L_SS">#REF!</definedName>
    <definedName name="MJ_CFG" localSheetId="11">#REF!</definedName>
    <definedName name="MJ_CFG" localSheetId="16">#REF!</definedName>
    <definedName name="MJ_CFG">#REF!</definedName>
    <definedName name="RetBE" localSheetId="11">[4]Macro1!#REF!</definedName>
    <definedName name="RetBE" localSheetId="0">[4]Macro1!#REF!</definedName>
    <definedName name="RetBE" localSheetId="16">[4]Macro1!#REF!</definedName>
    <definedName name="RetBE">[4]Macro1!#REF!</definedName>
    <definedName name="Service" localSheetId="0">#REF!</definedName>
    <definedName name="Service" localSheetId="16">#REF!</definedName>
    <definedName name="Service">#REF!</definedName>
    <definedName name="t_0" localSheetId="16">#REF!</definedName>
    <definedName name="t_0">#REF!</definedName>
    <definedName name="TP.Electricity_and_RES" localSheetId="11">#REF!</definedName>
    <definedName name="TP.Electricity_and_RES" localSheetId="16">#REF!</definedName>
    <definedName name="TP.Electricity_and_RES">#REF!</definedName>
    <definedName name="TP.Petroleum" localSheetId="11">#REF!</definedName>
    <definedName name="TP.Petroleum">#REF!</definedName>
    <definedName name="TP.Solids_and_Gases" localSheetId="11">#REF!</definedName>
    <definedName name="TP.Solids_and_Gases">#REF!</definedName>
    <definedName name="trans">#REF!</definedName>
    <definedName name="US.Electricity_and_RES" localSheetId="11">#REF!</definedName>
    <definedName name="US.Electricity_and_RES">#REF!</definedName>
    <definedName name="US.Petroleum" localSheetId="11">#REF!</definedName>
    <definedName name="US.Petroleum">#REF!</definedName>
    <definedName name="US.Solids_and_Gases" localSheetId="11">#REF!</definedName>
    <definedName name="US.Solids_and_Gases">#REF!</definedName>
    <definedName name="xxxxx">#REF!</definedName>
    <definedName name="yeare" localSheetId="11">#REF!</definedName>
    <definedName name="yeare">#REF!</definedName>
    <definedName name="yearf" localSheetId="11">#REF!</definedName>
    <definedName name="yearf">#REF!</definedName>
    <definedName name="yearg" localSheetId="11">#REF!</definedName>
    <definedName name="yea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9" l="1"/>
  <c r="J74" i="9"/>
  <c r="I35" i="7"/>
  <c r="J35" i="7"/>
  <c r="J32" i="7"/>
  <c r="I32" i="7"/>
  <c r="E11" i="30"/>
  <c r="D11" i="30"/>
  <c r="E14" i="29"/>
  <c r="L10" i="29"/>
  <c r="E10" i="29"/>
  <c r="E13" i="29" s="1"/>
  <c r="E15" i="29" s="1"/>
  <c r="E17" i="29" s="1"/>
  <c r="D10" i="29"/>
  <c r="D13" i="29" s="1"/>
  <c r="D15" i="29" s="1"/>
  <c r="D17" i="29" s="1"/>
  <c r="C10" i="29"/>
  <c r="C9" i="29"/>
  <c r="E44" i="28"/>
  <c r="D41" i="28"/>
  <c r="D46" i="28" s="1"/>
  <c r="E38" i="28"/>
  <c r="E41" i="28" s="1"/>
  <c r="E46" i="28" s="1"/>
  <c r="D38" i="28"/>
  <c r="C38" i="28"/>
  <c r="C37" i="28"/>
  <c r="E29" i="28"/>
  <c r="D29" i="28"/>
  <c r="E25" i="28"/>
  <c r="D25" i="28"/>
  <c r="E22" i="28"/>
  <c r="E20" i="28"/>
  <c r="D15" i="28"/>
  <c r="D11" i="28"/>
  <c r="E8" i="28"/>
  <c r="E6" i="28"/>
  <c r="E15" i="28" s="1"/>
  <c r="D37" i="26"/>
  <c r="Y4" i="13"/>
  <c r="I74" i="6"/>
  <c r="J74" i="6"/>
  <c r="I66" i="6"/>
  <c r="J66" i="6"/>
  <c r="I53" i="3"/>
  <c r="I58" i="3"/>
  <c r="I66" i="3"/>
  <c r="I71" i="3"/>
  <c r="I77" i="3"/>
  <c r="I81" i="3"/>
  <c r="I84" i="3"/>
  <c r="I20" i="1"/>
  <c r="I23" i="1"/>
  <c r="I37" i="1"/>
  <c r="I38" i="1"/>
  <c r="I39" i="1" s="1"/>
  <c r="I30" i="1"/>
  <c r="K30" i="1"/>
  <c r="J55" i="6"/>
  <c r="J58" i="6"/>
  <c r="J63" i="6"/>
  <c r="J71" i="6"/>
  <c r="J27" i="6"/>
  <c r="J33" i="6"/>
  <c r="J40" i="6"/>
  <c r="J46" i="6"/>
  <c r="J19" i="6"/>
  <c r="J13" i="6"/>
  <c r="I13" i="6"/>
  <c r="I16" i="1"/>
  <c r="J35" i="10"/>
  <c r="J40" i="10"/>
  <c r="J23" i="10"/>
  <c r="J28" i="10"/>
  <c r="E11" i="28" l="1"/>
  <c r="J53" i="3"/>
  <c r="J58" i="3"/>
  <c r="J66" i="3"/>
  <c r="J71" i="3"/>
  <c r="J77" i="3"/>
  <c r="J81" i="3"/>
  <c r="J84" i="3"/>
  <c r="K33" i="1"/>
  <c r="K13" i="1" l="1"/>
  <c r="K3" i="1"/>
  <c r="J16" i="1" l="1"/>
  <c r="J30" i="1"/>
  <c r="J23" i="1"/>
  <c r="J20" i="1"/>
  <c r="J37" i="1" l="1"/>
  <c r="J38" i="1"/>
  <c r="J39" i="1" s="1"/>
  <c r="K35" i="7"/>
  <c r="K32" i="7"/>
  <c r="I14" i="3" l="1"/>
  <c r="K23" i="10" l="1"/>
  <c r="I58" i="6" l="1"/>
  <c r="K10" i="1"/>
  <c r="K7" i="1"/>
  <c r="K6" i="3" s="1"/>
  <c r="K38" i="1"/>
  <c r="K39" i="1" s="1"/>
  <c r="K37" i="1"/>
  <c r="K20" i="1"/>
  <c r="K23" i="1"/>
  <c r="K16" i="1"/>
  <c r="I4" i="13"/>
  <c r="G84" i="25"/>
  <c r="G83" i="25"/>
  <c r="H79" i="25"/>
  <c r="J79" i="25" s="1"/>
  <c r="K80" i="25" s="1"/>
  <c r="H75" i="25"/>
  <c r="H74" i="25"/>
  <c r="H77" i="25" s="1"/>
  <c r="H78" i="25" s="1"/>
  <c r="K57" i="25"/>
  <c r="G57" i="25"/>
  <c r="K56" i="25"/>
  <c r="K54" i="25"/>
  <c r="K53" i="25"/>
  <c r="K52" i="25"/>
  <c r="K49" i="25"/>
  <c r="C47" i="25"/>
  <c r="C46" i="25"/>
  <c r="C45" i="25"/>
  <c r="C42" i="25"/>
  <c r="C41" i="25"/>
  <c r="C39" i="25"/>
  <c r="O38" i="25"/>
  <c r="C38" i="25"/>
  <c r="C37" i="25"/>
  <c r="K31" i="25"/>
  <c r="J31" i="25"/>
  <c r="L31" i="25" s="1"/>
  <c r="H31" i="25"/>
  <c r="L30" i="25"/>
  <c r="K30" i="25"/>
  <c r="J30" i="25"/>
  <c r="H30" i="25"/>
  <c r="G29" i="25"/>
  <c r="J29" i="25" s="1"/>
  <c r="L29" i="25" s="1"/>
  <c r="M29" i="25" s="1"/>
  <c r="F29" i="25"/>
  <c r="E29" i="25"/>
  <c r="D29" i="25"/>
  <c r="H29" i="25" s="1"/>
  <c r="K29" i="25" s="1"/>
  <c r="J28" i="25"/>
  <c r="L28" i="25" s="1"/>
  <c r="M28" i="25" s="1"/>
  <c r="H28" i="25"/>
  <c r="K28" i="25" s="1"/>
  <c r="J27" i="25"/>
  <c r="L27" i="25" s="1"/>
  <c r="H27" i="25"/>
  <c r="K27" i="25" s="1"/>
  <c r="J26" i="25"/>
  <c r="L26" i="25" s="1"/>
  <c r="M26" i="25" s="1"/>
  <c r="H26" i="25"/>
  <c r="K26" i="25" s="1"/>
  <c r="C20" i="25"/>
  <c r="R19" i="25"/>
  <c r="P20" i="25" s="1"/>
  <c r="Q20" i="25" s="1"/>
  <c r="R12" i="25" s="1"/>
  <c r="R11" i="25" s="1"/>
  <c r="J19" i="25"/>
  <c r="I19" i="25" s="1"/>
  <c r="R18" i="25"/>
  <c r="Q18" i="25"/>
  <c r="G18" i="25"/>
  <c r="H18" i="25" s="1"/>
  <c r="F17" i="25"/>
  <c r="B17" i="25"/>
  <c r="R16" i="25"/>
  <c r="H16" i="25"/>
  <c r="G16" i="25"/>
  <c r="K16" i="25" s="1"/>
  <c r="M16" i="25" s="1"/>
  <c r="C16" i="25"/>
  <c r="H15" i="25"/>
  <c r="G15" i="25"/>
  <c r="K15" i="25" s="1"/>
  <c r="C15" i="25"/>
  <c r="R15" i="25" s="1"/>
  <c r="R14" i="25"/>
  <c r="C14" i="25"/>
  <c r="N13" i="25"/>
  <c r="M13" i="25"/>
  <c r="H13" i="25"/>
  <c r="G13" i="25"/>
  <c r="C13" i="25"/>
  <c r="J47" i="25" s="1"/>
  <c r="Q12" i="25"/>
  <c r="P12" i="25"/>
  <c r="P11" i="25" s="1"/>
  <c r="I12" i="25"/>
  <c r="Q11" i="25"/>
  <c r="J11" i="25"/>
  <c r="N10" i="25"/>
  <c r="K10" i="25"/>
  <c r="M10" i="25" s="1"/>
  <c r="G10" i="25"/>
  <c r="R9" i="25"/>
  <c r="N9" i="25"/>
  <c r="D9" i="25"/>
  <c r="O8" i="25"/>
  <c r="C8" i="25"/>
  <c r="L8" i="25" s="1"/>
  <c r="B8" i="25"/>
  <c r="B7" i="25"/>
  <c r="N6" i="25"/>
  <c r="M6" i="25"/>
  <c r="K6" i="25"/>
  <c r="R5" i="25"/>
  <c r="P5" i="25"/>
  <c r="L5" i="25"/>
  <c r="L20" i="25" s="1"/>
  <c r="G5" i="25"/>
  <c r="O4" i="25"/>
  <c r="E4" i="25"/>
  <c r="E17" i="25" s="1"/>
  <c r="M30" i="25" l="1"/>
  <c r="J51" i="25"/>
  <c r="R13" i="25"/>
  <c r="N18" i="25"/>
  <c r="N15" i="25"/>
  <c r="J38" i="25"/>
  <c r="N5" i="25"/>
  <c r="H5" i="25"/>
  <c r="G14" i="25"/>
  <c r="K5" i="25"/>
  <c r="M5" i="25" s="1"/>
  <c r="K51" i="25"/>
  <c r="M31" i="25"/>
  <c r="K47" i="25"/>
  <c r="D16" i="25"/>
  <c r="D15" i="25"/>
  <c r="D13" i="25"/>
  <c r="D18" i="25"/>
  <c r="F5" i="25"/>
  <c r="R8" i="25"/>
  <c r="G20" i="25"/>
  <c r="M27" i="25"/>
  <c r="K38" i="25"/>
  <c r="J50" i="25"/>
  <c r="J39" i="25"/>
  <c r="J41" i="25"/>
  <c r="J42" i="25"/>
  <c r="J37" i="25"/>
  <c r="J45" i="25"/>
  <c r="J46" i="25"/>
  <c r="K37" i="25" l="1"/>
  <c r="K50" i="25"/>
  <c r="F20" i="25"/>
  <c r="F14" i="25"/>
  <c r="O14" i="25" s="1"/>
  <c r="O5" i="25"/>
  <c r="O39" i="25"/>
  <c r="O40" i="25" s="1"/>
  <c r="K14" i="25"/>
  <c r="M14" i="25" s="1"/>
  <c r="N14" i="25"/>
  <c r="K46" i="25"/>
  <c r="K41" i="25"/>
  <c r="N20" i="25"/>
  <c r="K20" i="25"/>
  <c r="M20" i="25" s="1"/>
  <c r="H14" i="25"/>
  <c r="C10" i="25"/>
  <c r="H20" i="25"/>
  <c r="K42" i="25"/>
  <c r="K45" i="25"/>
  <c r="K39" i="25"/>
  <c r="L10" i="25" l="1"/>
  <c r="R10" i="25"/>
  <c r="C4" i="25"/>
  <c r="O20" i="25"/>
  <c r="R4" i="25" l="1"/>
  <c r="F12" i="25" s="1"/>
  <c r="C17" i="25"/>
  <c r="R17" i="25" s="1"/>
  <c r="B5" i="25"/>
  <c r="C7" i="25"/>
  <c r="G7" i="25" l="1"/>
  <c r="E5" i="25"/>
  <c r="R7" i="25"/>
  <c r="L7" i="25"/>
  <c r="F11" i="25"/>
  <c r="O12" i="25"/>
  <c r="O11" i="25" s="1"/>
  <c r="F19" i="25"/>
  <c r="O19" i="25" s="1"/>
  <c r="B20" i="25"/>
  <c r="B18" i="25"/>
  <c r="B14" i="25"/>
  <c r="E2" i="25"/>
  <c r="B9" i="25" l="1"/>
  <c r="K7" i="25"/>
  <c r="M7" i="25" s="1"/>
  <c r="E9" i="25"/>
  <c r="L9" i="25"/>
  <c r="N7" i="25"/>
  <c r="H7" i="25"/>
  <c r="E10" i="25" s="1"/>
  <c r="B6" i="25"/>
  <c r="D4" i="25" s="1"/>
  <c r="D17" i="25" s="1"/>
  <c r="G8" i="25"/>
  <c r="E20" i="25"/>
  <c r="E14" i="25"/>
  <c r="K9" i="25" l="1"/>
  <c r="L16" i="25"/>
  <c r="L15" i="25"/>
  <c r="L18" i="25"/>
  <c r="L13" i="25"/>
  <c r="K8" i="25"/>
  <c r="M8" i="25" s="1"/>
  <c r="F9" i="25"/>
  <c r="F6" i="25" s="1"/>
  <c r="N8" i="25"/>
  <c r="H8" i="25"/>
  <c r="F10" i="25" s="1"/>
  <c r="E16" i="25"/>
  <c r="E13" i="25"/>
  <c r="E15" i="25"/>
  <c r="F7" i="25"/>
  <c r="M9" i="25"/>
  <c r="M18" i="25" s="1"/>
  <c r="E6" i="25"/>
  <c r="D7" i="25" s="1"/>
  <c r="C6" i="25"/>
  <c r="K18" i="25"/>
  <c r="H6" i="25"/>
  <c r="D10" i="25" s="1"/>
  <c r="B13" i="25"/>
  <c r="B16" i="25"/>
  <c r="B15" i="25"/>
  <c r="O6" i="25" l="1"/>
  <c r="H4" i="25"/>
  <c r="D8" i="25"/>
  <c r="G4" i="25"/>
  <c r="K4" i="25"/>
  <c r="M4" i="25" s="1"/>
  <c r="M17" i="25" s="1"/>
  <c r="R6" i="25"/>
  <c r="D5" i="25"/>
  <c r="L6" i="25"/>
  <c r="L4" i="25" s="1"/>
  <c r="L17" i="25" s="1"/>
  <c r="F13" i="25"/>
  <c r="O13" i="25" s="1"/>
  <c r="O9" i="25"/>
  <c r="F16" i="25"/>
  <c r="O16" i="25" s="1"/>
  <c r="F15" i="25"/>
  <c r="O15" i="25" s="1"/>
  <c r="F18" i="25"/>
  <c r="O18" i="25" s="1"/>
  <c r="O7" i="25"/>
  <c r="E8" i="25"/>
  <c r="O10" i="25"/>
  <c r="H12" i="25"/>
  <c r="H17" i="25" l="1"/>
  <c r="B10" i="25"/>
  <c r="H11" i="25"/>
  <c r="H19" i="25"/>
  <c r="G12" i="25"/>
  <c r="C12" i="25"/>
  <c r="N4" i="25"/>
  <c r="N17" i="25" s="1"/>
  <c r="G17" i="25"/>
  <c r="K17" i="25" s="1"/>
  <c r="D14" i="25"/>
  <c r="D20" i="25"/>
  <c r="J5" i="25" l="1"/>
  <c r="L12" i="25"/>
  <c r="C11" i="25"/>
  <c r="C19" i="25"/>
  <c r="G11" i="25"/>
  <c r="G19" i="25"/>
  <c r="K12" i="25"/>
  <c r="N12" i="25"/>
  <c r="N11" i="25" s="1"/>
  <c r="M12" i="25" l="1"/>
  <c r="M11" i="25" s="1"/>
  <c r="K11" i="25"/>
  <c r="K19" i="25"/>
  <c r="M19" i="25" s="1"/>
  <c r="N19" i="25"/>
  <c r="L19" i="25"/>
  <c r="L11" i="25"/>
  <c r="J20" i="25"/>
  <c r="I20" i="25" s="1"/>
  <c r="Q5" i="25"/>
  <c r="Q14" i="25" s="1"/>
  <c r="P14" i="25" s="1"/>
  <c r="I5" i="25"/>
  <c r="J14" i="25"/>
  <c r="I14" i="25" s="1"/>
  <c r="J7" i="25"/>
  <c r="Q7" i="25" l="1"/>
  <c r="P7" i="25" s="1"/>
  <c r="E18" i="25" s="1"/>
  <c r="I7" i="25"/>
  <c r="E12" i="25"/>
  <c r="J9" i="25"/>
  <c r="L40" i="25"/>
  <c r="L53" i="25"/>
  <c r="L48" i="25"/>
  <c r="L43" i="25"/>
  <c r="L49" i="25"/>
  <c r="L52" i="25"/>
  <c r="L54" i="25"/>
  <c r="L51" i="25"/>
  <c r="L38" i="25"/>
  <c r="M38" i="25" s="1"/>
  <c r="L47" i="25"/>
  <c r="L50" i="25"/>
  <c r="L46" i="25"/>
  <c r="L37" i="25"/>
  <c r="M37" i="25" s="1"/>
  <c r="L42" i="25"/>
  <c r="L39" i="25"/>
  <c r="M39" i="25" s="1"/>
  <c r="L41" i="25"/>
  <c r="L45" i="25"/>
  <c r="Q9" i="25" l="1"/>
  <c r="I9" i="25"/>
  <c r="J16" i="25"/>
  <c r="I16" i="25" s="1"/>
  <c r="J15" i="25"/>
  <c r="I15" i="25" s="1"/>
  <c r="J13" i="25"/>
  <c r="I13" i="25" s="1"/>
  <c r="J18" i="25"/>
  <c r="I18" i="25" s="1"/>
  <c r="J10" i="25"/>
  <c r="J8" i="25"/>
  <c r="J6" i="25"/>
  <c r="E19" i="25"/>
  <c r="I84" i="25" s="1"/>
  <c r="I85" i="25" s="1"/>
  <c r="E11" i="25"/>
  <c r="D12" i="25" l="1"/>
  <c r="Q6" i="25"/>
  <c r="P6" i="25" s="1"/>
  <c r="I6" i="25"/>
  <c r="J4" i="25"/>
  <c r="Q16" i="25"/>
  <c r="P16" i="25" s="1"/>
  <c r="Q15" i="25"/>
  <c r="P15" i="25" s="1"/>
  <c r="Q13" i="25"/>
  <c r="P13" i="25" s="1"/>
  <c r="P9" i="25"/>
  <c r="Q8" i="25"/>
  <c r="P8" i="25" s="1"/>
  <c r="I8" i="25"/>
  <c r="Q10" i="25"/>
  <c r="I10" i="25"/>
  <c r="D11" i="25" l="1"/>
  <c r="D19" i="25"/>
  <c r="B12" i="25"/>
  <c r="Q4" i="25"/>
  <c r="I4" i="25"/>
  <c r="J17" i="25"/>
  <c r="I17" i="25" s="1"/>
  <c r="P10" i="25"/>
  <c r="B11" i="25" l="1"/>
  <c r="B19" i="25"/>
  <c r="Q17" i="25"/>
  <c r="P17" i="25" s="1"/>
  <c r="P4" i="25"/>
  <c r="N11" i="13" l="1"/>
  <c r="Y8" i="13" l="1"/>
  <c r="Y5" i="13"/>
  <c r="Y6" i="13"/>
  <c r="Y7" i="13"/>
  <c r="Y9" i="13"/>
  <c r="Y10" i="13"/>
  <c r="V11" i="13"/>
  <c r="M5" i="13"/>
  <c r="M6" i="13"/>
  <c r="M7" i="13"/>
  <c r="M8" i="13"/>
  <c r="M9" i="13"/>
  <c r="M10" i="13"/>
  <c r="M4" i="13"/>
  <c r="O4" i="13" s="1"/>
  <c r="R4" i="13" s="1"/>
  <c r="Z4" i="13" s="1"/>
  <c r="I5" i="13"/>
  <c r="I6" i="13"/>
  <c r="I7" i="13"/>
  <c r="I8" i="13"/>
  <c r="I9" i="13"/>
  <c r="I10" i="13"/>
  <c r="J11" i="13"/>
  <c r="K11" i="13"/>
  <c r="D11" i="13"/>
  <c r="E11" i="13"/>
  <c r="F11" i="13"/>
  <c r="G11" i="13"/>
  <c r="H11" i="13"/>
  <c r="O9" i="13" l="1"/>
  <c r="O10" i="13"/>
  <c r="O5" i="13"/>
  <c r="R5" i="13" s="1"/>
  <c r="Z5" i="13" s="1"/>
  <c r="O7" i="13"/>
  <c r="O6" i="13"/>
  <c r="O8" i="13"/>
  <c r="Y11" i="13"/>
  <c r="M11" i="13"/>
  <c r="I11" i="13"/>
  <c r="O11" i="13" l="1"/>
  <c r="R10" i="13"/>
  <c r="Z10" i="13" s="1"/>
  <c r="R7" i="13"/>
  <c r="Z7" i="13" s="1"/>
  <c r="R6" i="13"/>
  <c r="Z6" i="13" s="1"/>
  <c r="R8" i="13"/>
  <c r="Z8" i="13" s="1"/>
  <c r="R9" i="13"/>
  <c r="Z9" i="13" s="1"/>
  <c r="T11" i="13"/>
  <c r="R11" i="13" l="1"/>
  <c r="Z11" i="13"/>
  <c r="I71" i="6"/>
  <c r="I63" i="6"/>
  <c r="I55" i="6"/>
  <c r="I9" i="3"/>
  <c r="I8" i="3"/>
  <c r="K74" i="9"/>
  <c r="I74" i="9"/>
  <c r="I20" i="8"/>
  <c r="I33" i="6"/>
  <c r="I27" i="6"/>
  <c r="I19" i="6"/>
  <c r="I32" i="23" l="1"/>
  <c r="H32" i="23"/>
  <c r="G32" i="23"/>
  <c r="F32" i="23"/>
  <c r="E32" i="23"/>
  <c r="D32" i="23"/>
  <c r="C32" i="23"/>
  <c r="I31" i="23"/>
  <c r="H31" i="23"/>
  <c r="G31" i="23"/>
  <c r="F31" i="23"/>
  <c r="E31" i="23"/>
  <c r="D31" i="23"/>
  <c r="C31" i="23"/>
  <c r="I30" i="23"/>
  <c r="H30" i="23"/>
  <c r="G30" i="23"/>
  <c r="F30" i="23"/>
  <c r="E30" i="23"/>
  <c r="D30" i="23"/>
  <c r="C30" i="23"/>
  <c r="I29" i="23"/>
  <c r="H29" i="23"/>
  <c r="G29" i="23"/>
  <c r="F29" i="23"/>
  <c r="E29" i="23"/>
  <c r="D29" i="23"/>
  <c r="C29" i="23"/>
  <c r="I28" i="23"/>
  <c r="H28" i="23"/>
  <c r="G28" i="23"/>
  <c r="F28" i="23"/>
  <c r="E28" i="23"/>
  <c r="D28" i="23"/>
  <c r="C28" i="23"/>
  <c r="I27" i="23"/>
  <c r="H27" i="23"/>
  <c r="G27" i="23"/>
  <c r="F27" i="23"/>
  <c r="F33" i="23" s="1"/>
  <c r="E27" i="23"/>
  <c r="E33" i="23" s="1"/>
  <c r="D27" i="23"/>
  <c r="C27" i="23"/>
  <c r="I26" i="23"/>
  <c r="H26" i="23"/>
  <c r="G26" i="23"/>
  <c r="F26" i="23"/>
  <c r="E26" i="23"/>
  <c r="D26" i="23"/>
  <c r="C26" i="23"/>
  <c r="I25" i="23"/>
  <c r="H25" i="23"/>
  <c r="G25" i="23"/>
  <c r="F25" i="23"/>
  <c r="E25" i="23"/>
  <c r="D25" i="23"/>
  <c r="C25" i="23"/>
  <c r="I24" i="23"/>
  <c r="H24" i="23"/>
  <c r="G24" i="23"/>
  <c r="F24" i="23"/>
  <c r="E24" i="23"/>
  <c r="D24" i="23"/>
  <c r="C24" i="23"/>
  <c r="I23" i="23"/>
  <c r="H23" i="23"/>
  <c r="G23" i="23"/>
  <c r="F23" i="23"/>
  <c r="E23" i="23"/>
  <c r="D23" i="23"/>
  <c r="C23" i="23"/>
  <c r="E18" i="23"/>
  <c r="W11" i="23"/>
  <c r="J29" i="23" l="1"/>
  <c r="G33" i="23"/>
  <c r="J26" i="23"/>
  <c r="H33" i="23"/>
  <c r="D38" i="23" s="1"/>
  <c r="I33" i="23"/>
  <c r="J31" i="23"/>
  <c r="J24" i="23"/>
  <c r="J28" i="23"/>
  <c r="J32" i="23"/>
  <c r="J25" i="23"/>
  <c r="C33" i="23"/>
  <c r="C38" i="23" s="1"/>
  <c r="D33" i="23"/>
  <c r="J30" i="23"/>
  <c r="J23" i="23"/>
  <c r="J27" i="23"/>
  <c r="J33" i="23" l="1"/>
  <c r="C34" i="23"/>
  <c r="E38" i="23"/>
  <c r="C39" i="23" s="1"/>
  <c r="D39" i="23"/>
  <c r="D34" i="23" l="1"/>
  <c r="G34" i="23"/>
  <c r="E34" i="23"/>
  <c r="F34" i="23"/>
  <c r="H34" i="23"/>
  <c r="I34" i="23"/>
  <c r="I40" i="10"/>
  <c r="I28" i="10"/>
  <c r="I23" i="10"/>
  <c r="X11" i="13"/>
  <c r="W11" i="13"/>
  <c r="S11" i="13"/>
  <c r="Q11" i="13"/>
  <c r="P11" i="13"/>
  <c r="U11" i="13"/>
  <c r="L11" i="13"/>
  <c r="C11" i="13"/>
  <c r="K84" i="3"/>
  <c r="K87" i="9"/>
  <c r="K44" i="9" l="1"/>
  <c r="K38" i="9"/>
  <c r="K6" i="9"/>
  <c r="R70" i="19" l="1"/>
  <c r="R110" i="19" l="1"/>
  <c r="R108" i="19"/>
  <c r="X114" i="19"/>
  <c r="V114" i="19"/>
  <c r="T114" i="19"/>
  <c r="S114" i="19"/>
  <c r="Z103" i="19"/>
  <c r="X103" i="19"/>
  <c r="T103" i="19"/>
  <c r="S103" i="19"/>
  <c r="AA92" i="19"/>
  <c r="Q90" i="19"/>
  <c r="Q112" i="19" s="1"/>
  <c r="Z90" i="19"/>
  <c r="Z112" i="19" s="1"/>
  <c r="W86" i="19"/>
  <c r="W90" i="19"/>
  <c r="W112" i="19" s="1"/>
  <c r="Q86" i="19"/>
  <c r="U86" i="19" s="1"/>
  <c r="R87" i="19"/>
  <c r="R109" i="19" s="1"/>
  <c r="R91" i="19"/>
  <c r="R113" i="19" s="1"/>
  <c r="R89" i="19"/>
  <c r="R111" i="19" s="1"/>
  <c r="R90" i="19"/>
  <c r="R112" i="19" s="1"/>
  <c r="R86" i="19"/>
  <c r="X92" i="19"/>
  <c r="T92" i="19"/>
  <c r="S92" i="19"/>
  <c r="U91" i="19"/>
  <c r="Y91" i="19" s="1"/>
  <c r="AB91" i="19" s="1"/>
  <c r="U89" i="19"/>
  <c r="Y89" i="19" s="1"/>
  <c r="AB89" i="19" s="1"/>
  <c r="U88" i="19"/>
  <c r="Y88" i="19" s="1"/>
  <c r="AB88" i="19" s="1"/>
  <c r="V92" i="19"/>
  <c r="U111" i="19" l="1"/>
  <c r="U109" i="19"/>
  <c r="Y109" i="19" s="1"/>
  <c r="Z114" i="19"/>
  <c r="U112" i="19"/>
  <c r="Y112" i="19" s="1"/>
  <c r="Z92" i="19"/>
  <c r="R114" i="19"/>
  <c r="U103" i="19"/>
  <c r="W92" i="19"/>
  <c r="U87" i="19"/>
  <c r="Y87" i="19" s="1"/>
  <c r="AB87" i="19" s="1"/>
  <c r="R92" i="19"/>
  <c r="U90" i="19"/>
  <c r="Y90" i="19" s="1"/>
  <c r="AB90" i="19" s="1"/>
  <c r="Y86" i="19"/>
  <c r="Q92" i="19"/>
  <c r="Y103" i="19" l="1"/>
  <c r="U92" i="19"/>
  <c r="AB86" i="19"/>
  <c r="Y92" i="19"/>
  <c r="AB92" i="19" s="1"/>
  <c r="Z74" i="19"/>
  <c r="X74" i="19"/>
  <c r="T74" i="19"/>
  <c r="S74" i="19"/>
  <c r="P58" i="19"/>
  <c r="P53" i="19"/>
  <c r="Z48" i="19"/>
  <c r="Y48" i="19"/>
  <c r="X48" i="19"/>
  <c r="W48" i="19"/>
  <c r="V48" i="19"/>
  <c r="U48" i="19"/>
  <c r="T48" i="19"/>
  <c r="S48" i="19"/>
  <c r="R48" i="19"/>
  <c r="Q48" i="19"/>
  <c r="Z47" i="19"/>
  <c r="Y47" i="19"/>
  <c r="X47" i="19"/>
  <c r="W47" i="19"/>
  <c r="V47" i="19"/>
  <c r="U47" i="19"/>
  <c r="T47" i="19"/>
  <c r="S47" i="19"/>
  <c r="R47" i="19"/>
  <c r="Q47" i="19"/>
  <c r="P47" i="19"/>
  <c r="P56" i="19" s="1"/>
  <c r="Z46" i="19"/>
  <c r="Y46" i="19"/>
  <c r="X46" i="19"/>
  <c r="W46" i="19"/>
  <c r="V46" i="19"/>
  <c r="U46" i="19"/>
  <c r="T46" i="19"/>
  <c r="S46" i="19"/>
  <c r="R46" i="19"/>
  <c r="Q46" i="19"/>
  <c r="Z45" i="19"/>
  <c r="Y45" i="19"/>
  <c r="X45" i="19"/>
  <c r="W45" i="19"/>
  <c r="V45" i="19"/>
  <c r="U45" i="19"/>
  <c r="T45" i="19"/>
  <c r="S45" i="19"/>
  <c r="R45" i="19"/>
  <c r="Q45" i="19"/>
  <c r="Z44" i="19"/>
  <c r="Y44" i="19"/>
  <c r="X44" i="19"/>
  <c r="W44" i="19"/>
  <c r="V44" i="19"/>
  <c r="U44" i="19"/>
  <c r="T44" i="19"/>
  <c r="S44" i="19"/>
  <c r="R44" i="19"/>
  <c r="Q44" i="19"/>
  <c r="Z43" i="19"/>
  <c r="Y43" i="19"/>
  <c r="X43" i="19"/>
  <c r="W43" i="19"/>
  <c r="V43" i="19"/>
  <c r="U43" i="19"/>
  <c r="T43" i="19"/>
  <c r="S43" i="19"/>
  <c r="R43" i="19"/>
  <c r="Q43" i="19"/>
  <c r="Z40" i="19"/>
  <c r="X40" i="19"/>
  <c r="T40" i="19"/>
  <c r="S40" i="19"/>
  <c r="T28" i="19"/>
  <c r="U28" i="19" s="1"/>
  <c r="T27" i="19"/>
  <c r="U27" i="19" s="1"/>
  <c r="T26" i="19"/>
  <c r="U26" i="19" s="1"/>
  <c r="T25" i="19"/>
  <c r="U25" i="19" s="1"/>
  <c r="T24" i="19"/>
  <c r="U24" i="19" s="1"/>
  <c r="T23" i="19"/>
  <c r="U23" i="19" s="1"/>
  <c r="T22" i="19"/>
  <c r="U22" i="19" s="1"/>
  <c r="T21" i="19"/>
  <c r="U21" i="19" s="1"/>
  <c r="T20" i="19"/>
  <c r="U20" i="19" s="1"/>
  <c r="T19" i="19"/>
  <c r="U19" i="19" s="1"/>
  <c r="T18" i="19"/>
  <c r="U18" i="19" s="1"/>
  <c r="T17" i="19"/>
  <c r="U17" i="19" s="1"/>
  <c r="P46" i="19" s="1"/>
  <c r="P55" i="19" s="1"/>
  <c r="T16" i="19"/>
  <c r="U16" i="19" s="1"/>
  <c r="T15" i="19"/>
  <c r="U15" i="19" s="1"/>
  <c r="P45" i="19" s="1"/>
  <c r="P54" i="19" s="1"/>
  <c r="T14" i="19"/>
  <c r="U14" i="19" s="1"/>
  <c r="T13" i="19"/>
  <c r="U13" i="19" s="1"/>
  <c r="T12" i="19"/>
  <c r="U12" i="19" s="1"/>
  <c r="T11" i="19"/>
  <c r="U56" i="19" l="1"/>
  <c r="P43" i="19"/>
  <c r="P52" i="19" s="1"/>
  <c r="S52" i="19" s="1"/>
  <c r="Q49" i="19"/>
  <c r="Y49" i="19"/>
  <c r="R49" i="19"/>
  <c r="V49" i="19"/>
  <c r="Z49" i="19"/>
  <c r="T49" i="19"/>
  <c r="X49" i="19"/>
  <c r="U49" i="19"/>
  <c r="R56" i="19"/>
  <c r="Z56" i="19"/>
  <c r="Z54" i="19"/>
  <c r="V54" i="19"/>
  <c r="AA36" i="19" s="1"/>
  <c r="AA70" i="19" s="1"/>
  <c r="R54" i="19"/>
  <c r="R36" i="19" s="1"/>
  <c r="Y54" i="19"/>
  <c r="V36" i="19" s="1"/>
  <c r="V70" i="19" s="1"/>
  <c r="U54" i="19"/>
  <c r="Q54" i="19"/>
  <c r="W54" i="19"/>
  <c r="T54" i="19"/>
  <c r="S54" i="19"/>
  <c r="X54" i="19"/>
  <c r="W36" i="19" s="1"/>
  <c r="W70" i="19" s="1"/>
  <c r="X52" i="19"/>
  <c r="Z52" i="19"/>
  <c r="U52" i="19"/>
  <c r="Y52" i="19"/>
  <c r="W52" i="19"/>
  <c r="W55" i="19"/>
  <c r="S55" i="19"/>
  <c r="Z55" i="19"/>
  <c r="V55" i="19"/>
  <c r="AA37" i="19" s="1"/>
  <c r="AA71" i="19" s="1"/>
  <c r="R55" i="19"/>
  <c r="T55" i="19"/>
  <c r="Y55" i="19"/>
  <c r="V37" i="19" s="1"/>
  <c r="V71" i="19" s="1"/>
  <c r="Q55" i="19"/>
  <c r="X55" i="19"/>
  <c r="W37" i="19" s="1"/>
  <c r="W71" i="19" s="1"/>
  <c r="U55" i="19"/>
  <c r="Y53" i="19"/>
  <c r="V35" i="19" s="1"/>
  <c r="V69" i="19" s="1"/>
  <c r="U53" i="19"/>
  <c r="Q53" i="19"/>
  <c r="Q35" i="19" s="1"/>
  <c r="V53" i="19"/>
  <c r="AA35" i="19" s="1"/>
  <c r="AA69" i="19" s="1"/>
  <c r="P48" i="19"/>
  <c r="P57" i="19" s="1"/>
  <c r="R53" i="19"/>
  <c r="W53" i="19"/>
  <c r="U11" i="19"/>
  <c r="S49" i="19"/>
  <c r="W49" i="19"/>
  <c r="X56" i="19"/>
  <c r="W38" i="19" s="1"/>
  <c r="W72" i="19" s="1"/>
  <c r="T56" i="19"/>
  <c r="W56" i="19"/>
  <c r="S56" i="19"/>
  <c r="S53" i="19"/>
  <c r="X53" i="19"/>
  <c r="W35" i="19" s="1"/>
  <c r="W69" i="19" s="1"/>
  <c r="V56" i="19"/>
  <c r="AA38" i="19" s="1"/>
  <c r="AA72" i="19" s="1"/>
  <c r="T53" i="19"/>
  <c r="Z53" i="19"/>
  <c r="Q56" i="19"/>
  <c r="Q38" i="19" s="1"/>
  <c r="Y56" i="19"/>
  <c r="V38" i="19" s="1"/>
  <c r="V72" i="19" s="1"/>
  <c r="T52" i="19" l="1"/>
  <c r="R34" i="19" s="1"/>
  <c r="V52" i="19"/>
  <c r="Q52" i="19"/>
  <c r="Q34" i="19" s="1"/>
  <c r="R52" i="19"/>
  <c r="R38" i="19"/>
  <c r="R72" i="19" s="1"/>
  <c r="Q36" i="19"/>
  <c r="Q70" i="19" s="1"/>
  <c r="AA34" i="19"/>
  <c r="Y57" i="19"/>
  <c r="V39" i="19" s="1"/>
  <c r="V73" i="19" s="1"/>
  <c r="U57" i="19"/>
  <c r="U58" i="19" s="1"/>
  <c r="Q57" i="19"/>
  <c r="X57" i="19"/>
  <c r="W39" i="19" s="1"/>
  <c r="W73" i="19" s="1"/>
  <c r="T57" i="19"/>
  <c r="V57" i="19"/>
  <c r="AA39" i="19" s="1"/>
  <c r="AA73" i="19" s="1"/>
  <c r="S57" i="19"/>
  <c r="S58" i="19" s="1"/>
  <c r="Z57" i="19"/>
  <c r="R57" i="19"/>
  <c r="W57" i="19"/>
  <c r="Q72" i="19"/>
  <c r="U38" i="19"/>
  <c r="Y38" i="19" s="1"/>
  <c r="AB38" i="19" s="1"/>
  <c r="V34" i="19"/>
  <c r="W34" i="19"/>
  <c r="Q69" i="19"/>
  <c r="R37" i="19"/>
  <c r="R71" i="19" s="1"/>
  <c r="U36" i="19"/>
  <c r="Y36" i="19" s="1"/>
  <c r="AB36" i="19" s="1"/>
  <c r="R35" i="19"/>
  <c r="R69" i="19" s="1"/>
  <c r="Q37" i="19"/>
  <c r="W58" i="19"/>
  <c r="Z58" i="19"/>
  <c r="T58" i="19" l="1"/>
  <c r="Q58" i="19"/>
  <c r="R39" i="19"/>
  <c r="R73" i="19" s="1"/>
  <c r="U70" i="19"/>
  <c r="Y70" i="19" s="1"/>
  <c r="AB70" i="19" s="1"/>
  <c r="X58" i="19"/>
  <c r="U72" i="19"/>
  <c r="Y72" i="19" s="1"/>
  <c r="AB72" i="19" s="1"/>
  <c r="R40" i="19"/>
  <c r="R68" i="19"/>
  <c r="Q68" i="19"/>
  <c r="U34" i="19"/>
  <c r="AA68" i="19"/>
  <c r="AA40" i="19"/>
  <c r="Q71" i="19"/>
  <c r="U37" i="19"/>
  <c r="Y37" i="19" s="1"/>
  <c r="AB37" i="19" s="1"/>
  <c r="U35" i="19"/>
  <c r="Y35" i="19" s="1"/>
  <c r="AB35" i="19" s="1"/>
  <c r="Y58" i="19"/>
  <c r="U69" i="19"/>
  <c r="Y69" i="19" s="1"/>
  <c r="AB69" i="19" s="1"/>
  <c r="V68" i="19"/>
  <c r="V40" i="19"/>
  <c r="R58" i="19"/>
  <c r="W40" i="19"/>
  <c r="W68" i="19"/>
  <c r="Q39" i="19"/>
  <c r="V58" i="19"/>
  <c r="AA74" i="19" l="1"/>
  <c r="U71" i="19"/>
  <c r="Y71" i="19" s="1"/>
  <c r="AB71" i="19" s="1"/>
  <c r="R74" i="19"/>
  <c r="W74" i="19"/>
  <c r="V74" i="19"/>
  <c r="V97" i="19" s="1"/>
  <c r="Y34" i="19"/>
  <c r="U68" i="19"/>
  <c r="Q73" i="19"/>
  <c r="U39" i="19"/>
  <c r="Y39" i="19" s="1"/>
  <c r="AB39" i="19" s="1"/>
  <c r="Q40" i="19"/>
  <c r="W100" i="19" l="1"/>
  <c r="W99" i="19"/>
  <c r="W98" i="19"/>
  <c r="W101" i="19"/>
  <c r="W102" i="19"/>
  <c r="W113" i="19" s="1"/>
  <c r="AA98" i="19"/>
  <c r="AA109" i="19" s="1"/>
  <c r="AA99" i="19"/>
  <c r="AA110" i="19" s="1"/>
  <c r="AA101" i="19"/>
  <c r="AA112" i="19" s="1"/>
  <c r="AA100" i="19"/>
  <c r="AA102" i="19"/>
  <c r="AA113" i="19" s="1"/>
  <c r="V101" i="19"/>
  <c r="V100" i="19"/>
  <c r="V98" i="19"/>
  <c r="V103" i="19" s="1"/>
  <c r="V99" i="19"/>
  <c r="V102" i="19"/>
  <c r="W97" i="19"/>
  <c r="R99" i="19"/>
  <c r="R101" i="19"/>
  <c r="R100" i="19"/>
  <c r="R98" i="19"/>
  <c r="R97" i="19"/>
  <c r="AA97" i="19"/>
  <c r="AA108" i="19" s="1"/>
  <c r="Q102" i="19"/>
  <c r="R102" i="19"/>
  <c r="U73" i="19"/>
  <c r="Y73" i="19" s="1"/>
  <c r="AB73" i="19" s="1"/>
  <c r="Q74" i="19"/>
  <c r="U74" i="19"/>
  <c r="Y68" i="19"/>
  <c r="AB34" i="19"/>
  <c r="Y40" i="19"/>
  <c r="AB40" i="19" s="1"/>
  <c r="U40" i="19"/>
  <c r="AA103" i="19" l="1"/>
  <c r="AA111" i="19"/>
  <c r="AB112" i="19"/>
  <c r="R103" i="19"/>
  <c r="AB109" i="19"/>
  <c r="AA114" i="19"/>
  <c r="W108" i="19"/>
  <c r="Q99" i="19"/>
  <c r="Q110" i="19" s="1"/>
  <c r="Q101" i="19"/>
  <c r="Q98" i="19"/>
  <c r="Q97" i="19"/>
  <c r="Q100" i="19"/>
  <c r="W110" i="19"/>
  <c r="W103" i="19"/>
  <c r="W111" i="19"/>
  <c r="AB68" i="19"/>
  <c r="Y74" i="19"/>
  <c r="AB74" i="19" s="1"/>
  <c r="U110" i="19" l="1"/>
  <c r="Y110" i="19" s="1"/>
  <c r="AB110" i="19" s="1"/>
  <c r="Y111" i="19"/>
  <c r="AB111" i="19" s="1"/>
  <c r="W115" i="19"/>
  <c r="W114" i="19"/>
  <c r="Q108" i="19"/>
  <c r="Q103" i="19"/>
  <c r="Q113" i="19"/>
  <c r="Q115" i="19" l="1"/>
  <c r="U108" i="19"/>
  <c r="Q114" i="19"/>
  <c r="U113" i="19"/>
  <c r="Y113" i="19" s="1"/>
  <c r="AB113" i="19" s="1"/>
  <c r="Y108" i="19" l="1"/>
  <c r="U114" i="19"/>
  <c r="Y114" i="19" l="1"/>
  <c r="AB114" i="19" s="1"/>
  <c r="AB108" i="19"/>
  <c r="I38" i="9"/>
  <c r="K54" i="17" l="1"/>
  <c r="K53" i="17"/>
  <c r="K51" i="17"/>
  <c r="K50" i="17"/>
  <c r="K49" i="17"/>
  <c r="K46" i="17"/>
  <c r="C44" i="17"/>
  <c r="C43" i="17"/>
  <c r="C13" i="17"/>
  <c r="J37" i="17" s="1"/>
  <c r="C42" i="17"/>
  <c r="C40" i="17"/>
  <c r="C39" i="17"/>
  <c r="K38" i="17"/>
  <c r="C37" i="17"/>
  <c r="C36" i="17"/>
  <c r="C35" i="17"/>
  <c r="C38" i="17"/>
  <c r="E38" i="17" s="1"/>
  <c r="H30" i="17"/>
  <c r="K30" i="17"/>
  <c r="J30" i="17"/>
  <c r="L30" i="17" s="1"/>
  <c r="M30" i="17" s="1"/>
  <c r="J27" i="17"/>
  <c r="L27" i="17"/>
  <c r="M27" i="17" s="1"/>
  <c r="J29" i="17"/>
  <c r="L29" i="17" s="1"/>
  <c r="H29" i="17"/>
  <c r="K29" i="17"/>
  <c r="D28" i="17"/>
  <c r="E28" i="17"/>
  <c r="H28" i="17" s="1"/>
  <c r="K28" i="17" s="1"/>
  <c r="G28" i="17"/>
  <c r="F28" i="17"/>
  <c r="J28" i="17" s="1"/>
  <c r="L28" i="17" s="1"/>
  <c r="M28" i="17" s="1"/>
  <c r="Q27" i="17"/>
  <c r="H27" i="17"/>
  <c r="K27" i="17" s="1"/>
  <c r="J26" i="17"/>
  <c r="L26" i="17"/>
  <c r="M26" i="17" s="1"/>
  <c r="H26" i="17"/>
  <c r="K26" i="17" s="1"/>
  <c r="H25" i="17"/>
  <c r="K25" i="17" s="1"/>
  <c r="J25" i="17"/>
  <c r="L25" i="17" s="1"/>
  <c r="G5" i="17"/>
  <c r="G14" i="17" s="1"/>
  <c r="C20" i="17"/>
  <c r="R18" i="17"/>
  <c r="R19" i="17" s="1"/>
  <c r="P20" i="17" s="1"/>
  <c r="Q20" i="17" s="1"/>
  <c r="R12" i="17" s="1"/>
  <c r="R11" i="17" s="1"/>
  <c r="Q12" i="17"/>
  <c r="Q11" i="17" s="1"/>
  <c r="J19" i="17"/>
  <c r="I19" i="17" s="1"/>
  <c r="Q18" i="17"/>
  <c r="G18" i="17"/>
  <c r="H18" i="17" s="1"/>
  <c r="D9" i="17"/>
  <c r="D16" i="17" s="1"/>
  <c r="F17" i="17"/>
  <c r="B17" i="17"/>
  <c r="G16" i="17"/>
  <c r="K16" i="17" s="1"/>
  <c r="M16" i="17" s="1"/>
  <c r="H16" i="17"/>
  <c r="C16" i="17"/>
  <c r="R16" i="17"/>
  <c r="G15" i="17"/>
  <c r="N15" i="17" s="1"/>
  <c r="H15" i="17"/>
  <c r="K15" i="17"/>
  <c r="D15" i="17"/>
  <c r="C15" i="17"/>
  <c r="R15" i="17" s="1"/>
  <c r="C14" i="17"/>
  <c r="R14" i="17" s="1"/>
  <c r="G13" i="17"/>
  <c r="N13" i="17" s="1"/>
  <c r="M13" i="17"/>
  <c r="H13" i="17"/>
  <c r="D13" i="17"/>
  <c r="P12" i="17"/>
  <c r="P11" i="17" s="1"/>
  <c r="I12" i="17"/>
  <c r="J11" i="17"/>
  <c r="G10" i="17"/>
  <c r="N10" i="17"/>
  <c r="K10" i="17"/>
  <c r="M10" i="17" s="1"/>
  <c r="R9" i="17"/>
  <c r="N9" i="17"/>
  <c r="O8" i="17"/>
  <c r="C8" i="17"/>
  <c r="B8" i="17"/>
  <c r="B7" i="17"/>
  <c r="E4" i="17" s="1"/>
  <c r="E17" i="17" s="1"/>
  <c r="N6" i="17"/>
  <c r="K6" i="17"/>
  <c r="R5" i="17"/>
  <c r="P5" i="17"/>
  <c r="L5" i="17"/>
  <c r="L20" i="17" s="1"/>
  <c r="K5" i="17"/>
  <c r="M5" i="17" s="1"/>
  <c r="N5" i="17"/>
  <c r="O4" i="17"/>
  <c r="L8" i="17"/>
  <c r="F5" i="17"/>
  <c r="O5" i="17" s="1"/>
  <c r="R8" i="17"/>
  <c r="J43" i="17"/>
  <c r="H5" i="17"/>
  <c r="H14" i="17" s="1"/>
  <c r="J48" i="17"/>
  <c r="K43" i="17"/>
  <c r="I6" i="10"/>
  <c r="I7" i="10" s="1"/>
  <c r="I6" i="3"/>
  <c r="I35" i="10"/>
  <c r="G20" i="17" l="1"/>
  <c r="N20" i="17" s="1"/>
  <c r="M25" i="17"/>
  <c r="F20" i="17"/>
  <c r="N18" i="17"/>
  <c r="M29" i="17"/>
  <c r="J36" i="17"/>
  <c r="K36" i="17" s="1"/>
  <c r="K14" i="17"/>
  <c r="M14" i="17" s="1"/>
  <c r="N14" i="17"/>
  <c r="K37" i="17"/>
  <c r="J39" i="17"/>
  <c r="M6" i="17"/>
  <c r="D18" i="17"/>
  <c r="K48" i="17"/>
  <c r="C10" i="17"/>
  <c r="J47" i="17"/>
  <c r="J42" i="17"/>
  <c r="H20" i="17"/>
  <c r="F14" i="17"/>
  <c r="O14" i="17" s="1"/>
  <c r="R13" i="17"/>
  <c r="K20" i="17"/>
  <c r="M20" i="17" s="1"/>
  <c r="J44" i="17"/>
  <c r="J40" i="17"/>
  <c r="J35" i="17"/>
  <c r="C4" i="17" l="1"/>
  <c r="O20" i="17"/>
  <c r="K47" i="17"/>
  <c r="R10" i="17"/>
  <c r="L10" i="17"/>
  <c r="K44" i="17"/>
  <c r="K40" i="17"/>
  <c r="K35" i="17"/>
  <c r="K42" i="17"/>
  <c r="K39" i="17"/>
  <c r="C17" i="17" l="1"/>
  <c r="R17" i="17" s="1"/>
  <c r="R4" i="17"/>
  <c r="F12" i="17" s="1"/>
  <c r="C7" i="17"/>
  <c r="B5" i="17"/>
  <c r="E5" i="17" l="1"/>
  <c r="G7" i="17"/>
  <c r="R7" i="17"/>
  <c r="L7" i="17"/>
  <c r="B20" i="17"/>
  <c r="E2" i="17"/>
  <c r="B18" i="17"/>
  <c r="B14" i="17"/>
  <c r="F11" i="17"/>
  <c r="F19" i="17"/>
  <c r="O19" i="17" s="1"/>
  <c r="O12" i="17"/>
  <c r="O11" i="17" s="1"/>
  <c r="N7" i="17" l="1"/>
  <c r="H7" i="17"/>
  <c r="E10" i="17" s="1"/>
  <c r="L9" i="17"/>
  <c r="E9" i="17"/>
  <c r="G8" i="17"/>
  <c r="F7" i="17" s="1"/>
  <c r="B6" i="17"/>
  <c r="D4" i="17" s="1"/>
  <c r="D17" i="17" s="1"/>
  <c r="B9" i="17"/>
  <c r="K7" i="17"/>
  <c r="E20" i="17"/>
  <c r="E14" i="17"/>
  <c r="O7" i="17" l="1"/>
  <c r="E8" i="17"/>
  <c r="M7" i="17"/>
  <c r="K9" i="17"/>
  <c r="B15" i="17"/>
  <c r="B16" i="17"/>
  <c r="B13" i="17"/>
  <c r="N8" i="17"/>
  <c r="F9" i="17"/>
  <c r="H8" i="17"/>
  <c r="F10" i="17" s="1"/>
  <c r="K8" i="17"/>
  <c r="M8" i="17" s="1"/>
  <c r="E16" i="17"/>
  <c r="E13" i="17"/>
  <c r="E15" i="17"/>
  <c r="L15" i="17"/>
  <c r="L18" i="17"/>
  <c r="L16" i="17"/>
  <c r="L13" i="17"/>
  <c r="O10" i="17" l="1"/>
  <c r="H12" i="17"/>
  <c r="C6" i="17"/>
  <c r="M9" i="17"/>
  <c r="M18" i="17" s="1"/>
  <c r="F6" i="17"/>
  <c r="K18" i="17"/>
  <c r="E6" i="17"/>
  <c r="D7" i="17" s="1"/>
  <c r="H6" i="17"/>
  <c r="D10" i="17" s="1"/>
  <c r="F18" i="17"/>
  <c r="O18" i="17" s="1"/>
  <c r="F16" i="17"/>
  <c r="O16" i="17" s="1"/>
  <c r="F15" i="17"/>
  <c r="O15" i="17" s="1"/>
  <c r="F13" i="17"/>
  <c r="O13" i="17" s="1"/>
  <c r="O9" i="17"/>
  <c r="C12" i="17" l="1"/>
  <c r="H11" i="17"/>
  <c r="H19" i="17"/>
  <c r="G12" i="17"/>
  <c r="K4" i="17"/>
  <c r="M4" i="17" s="1"/>
  <c r="M17" i="17" s="1"/>
  <c r="O6" i="17"/>
  <c r="D8" i="17"/>
  <c r="H4" i="17"/>
  <c r="G4" i="17"/>
  <c r="D5" i="17"/>
  <c r="L6" i="17"/>
  <c r="L4" i="17" s="1"/>
  <c r="L17" i="17" s="1"/>
  <c r="R6" i="17"/>
  <c r="G17" i="17" l="1"/>
  <c r="K17" i="17" s="1"/>
  <c r="N4" i="17"/>
  <c r="N17" i="17" s="1"/>
  <c r="G19" i="17"/>
  <c r="G11" i="17"/>
  <c r="K12" i="17"/>
  <c r="N12" i="17"/>
  <c r="N11" i="17" s="1"/>
  <c r="D14" i="17"/>
  <c r="D20" i="17"/>
  <c r="B10" i="17"/>
  <c r="H17" i="17"/>
  <c r="C11" i="17"/>
  <c r="C19" i="17"/>
  <c r="J5" i="17"/>
  <c r="L12" i="17"/>
  <c r="L11" i="17" l="1"/>
  <c r="L19" i="17"/>
  <c r="M12" i="17"/>
  <c r="M11" i="17" s="1"/>
  <c r="K11" i="17"/>
  <c r="N19" i="17"/>
  <c r="K19" i="17"/>
  <c r="M19" i="17" s="1"/>
  <c r="I5" i="17"/>
  <c r="J14" i="17"/>
  <c r="I14" i="17" s="1"/>
  <c r="J20" i="17"/>
  <c r="I20" i="17" s="1"/>
  <c r="Q5" i="17"/>
  <c r="Q14" i="17" s="1"/>
  <c r="P14" i="17" s="1"/>
  <c r="J7" i="17"/>
  <c r="L41" i="17" l="1"/>
  <c r="L50" i="17"/>
  <c r="L45" i="17"/>
  <c r="L36" i="17"/>
  <c r="L39" i="17"/>
  <c r="L38" i="17"/>
  <c r="L44" i="17"/>
  <c r="L49" i="17"/>
  <c r="L37" i="17"/>
  <c r="L35" i="17"/>
  <c r="L43" i="17"/>
  <c r="L48" i="17"/>
  <c r="L42" i="17"/>
  <c r="L46" i="17"/>
  <c r="L51" i="17"/>
  <c r="L40" i="17"/>
  <c r="L47" i="17"/>
  <c r="Q7" i="17"/>
  <c r="P7" i="17" s="1"/>
  <c r="E18" i="17" s="1"/>
  <c r="E12" i="17"/>
  <c r="I7" i="17"/>
  <c r="J9" i="17"/>
  <c r="E19" i="17" l="1"/>
  <c r="E11" i="17"/>
  <c r="J16" i="17"/>
  <c r="I16" i="17" s="1"/>
  <c r="I9" i="17"/>
  <c r="J15" i="17"/>
  <c r="I15" i="17" s="1"/>
  <c r="J18" i="17"/>
  <c r="I18" i="17" s="1"/>
  <c r="Q9" i="17"/>
  <c r="J13" i="17"/>
  <c r="I13" i="17" s="1"/>
  <c r="J8" i="17"/>
  <c r="J6" i="17"/>
  <c r="J10" i="17"/>
  <c r="I10" i="17" l="1"/>
  <c r="Q10" i="17"/>
  <c r="P10" i="17" s="1"/>
  <c r="I8" i="17"/>
  <c r="Q8" i="17"/>
  <c r="P8" i="17" s="1"/>
  <c r="Q13" i="17"/>
  <c r="P13" i="17" s="1"/>
  <c r="Q15" i="17"/>
  <c r="P15" i="17" s="1"/>
  <c r="Q16" i="17"/>
  <c r="P16" i="17" s="1"/>
  <c r="P9" i="17"/>
  <c r="D12" i="17"/>
  <c r="I6" i="17"/>
  <c r="Q6" i="17"/>
  <c r="P6" i="17" s="1"/>
  <c r="J4" i="17"/>
  <c r="D19" i="17" l="1"/>
  <c r="D11" i="17"/>
  <c r="Q4" i="17"/>
  <c r="J17" i="17"/>
  <c r="I17" i="17" s="1"/>
  <c r="I4" i="17"/>
  <c r="B12" i="17"/>
  <c r="B11" i="17" l="1"/>
  <c r="B19" i="17"/>
  <c r="P4" i="17"/>
  <c r="Q17" i="17"/>
  <c r="P17"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tc={D2FC040D-DD01-4083-8671-11BC612C3873}</author>
    <author>Stortecky Sebastian</author>
  </authors>
  <commentList>
    <comment ref="N2" authorId="0" shapeId="0" xr:uid="{D2FC040D-DD01-4083-8671-11BC612C3873}">
      <text>
        <t>[Threaded comment]
Your version of Excel allows you to read this threaded comment; however, any edits to it will get removed if the file is opened in a newer version of Excel. Learn more: https://go.microsoft.com/fwlink/?linkid=870924
Comment:
    Non-energy use as raw material (e.g., in the petrochemical or steel industry, asphalt,..)</t>
      </text>
    </comment>
    <comment ref="X3" authorId="1" shapeId="0" xr:uid="{E1411412-5FB5-4A8B-8720-F00C48E86C6C}">
      <text>
        <r>
          <rPr>
            <b/>
            <sz val="9"/>
            <color indexed="81"/>
            <rFont val="Segoe UI"/>
            <family val="2"/>
          </rPr>
          <t>Stortecky Sebastian:</t>
        </r>
        <r>
          <rPr>
            <sz val="9"/>
            <color indexed="81"/>
            <rFont val="Segoe UI"/>
            <family val="2"/>
          </rPr>
          <t xml:space="preserve">
includes also Biodiesel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tc={0CA7168B-142A-4D2C-B1D1-241CEC9218C0}</author>
    <author>tc={DEDEFD75-0484-4363-BC6A-76BFD5A4E6F9}</author>
    <author>tc={101D745D-FBAA-4043-8593-69BAAC0D1560}</author>
  </authors>
  <commentList>
    <comment ref="G8" authorId="0" shapeId="0" xr:uid="{0CA7168B-142A-4D2C-B1D1-241CEC9218C0}">
      <text>
        <t>[Threaded comment]
Your version of Excel allows you to read this threaded comment; however, any edits to it will get removed if the file is opened in a newer version of Excel. Learn more: https://go.microsoft.com/fwlink/?linkid=870924
Comment:
    Erwerbsquote der 15-64 Jährigen in %</t>
      </text>
    </comment>
    <comment ref="G9" authorId="1" shapeId="0" xr:uid="{DEDEFD75-0484-4363-BC6A-76BFD5A4E6F9}">
      <text>
        <t>[Threaded comment]
Your version of Excel allows you to read this threaded comment; however, any edits to it will get removed if the file is opened in a newer version of Excel. Learn more: https://go.microsoft.com/fwlink/?linkid=870924
Comment:
    Erwerbstätigenquote der 15-64 Jährigen in %</t>
      </text>
    </comment>
    <comment ref="G33" authorId="2" shapeId="0" xr:uid="{101D745D-FBAA-4043-8593-69BAAC0D1560}">
      <text>
        <t>[Threaded comment]
Your version of Excel allows you to read this threaded comment; however, any edits to it will get removed if the file is opened in a newer version of Excel. Learn more: https://go.microsoft.com/fwlink/?linkid=870924
Comment:
    Handel, Instandhaltung, 
Reparatur von KFZ</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tc={F70ECBDE-69F6-49F1-9B6B-B220D68CAF2B}</author>
    <author>tc={927A1C84-8AC2-44C1-B148-CCB5D6D73DF7}</author>
    <author>tc={8801E9BB-A6ED-4FF7-B322-C02A06E78BE5}</author>
  </authors>
  <commentList>
    <comment ref="Q3" authorId="0" shapeId="0" xr:uid="{F70ECBDE-69F6-49F1-9B6B-B220D68CAF2B}">
      <text>
        <t>[Threaded comment]
Your version of Excel allows you to read this threaded comment; however, any edits to it will get removed if the file is opened in a newer version of Excel. Learn more: https://go.microsoft.com/fwlink/?linkid=870924
Comment:
    NUTS3-Region</t>
      </text>
    </comment>
    <comment ref="Q4" authorId="1" shapeId="0" xr:uid="{927A1C84-8AC2-44C1-B148-CCB5D6D73DF7}">
      <text>
        <t>[Threaded comment]
Your version of Excel allows you to read this threaded comment; however, any edits to it will get removed if the file is opened in a newer version of Excel. Learn more: https://go.microsoft.com/fwlink/?linkid=870924
Comment:
    NUTS3-Region</t>
      </text>
    </comment>
    <comment ref="Q8" authorId="2" shapeId="0" xr:uid="{8801E9BB-A6ED-4FF7-B322-C02A06E78BE5}">
      <text>
        <t>[Threaded comment]
Your version of Excel allows you to read this threaded comment; however, any edits to it will get removed if the file is opened in a newer version of Excel. Learn more: https://go.microsoft.com/fwlink/?linkid=870924
Comment:
    NUTS1-Region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Stortecky Sebastian</author>
  </authors>
  <commentList>
    <comment ref="G24" authorId="0" shapeId="0" xr:uid="{DFE37C83-0AA6-48BF-A5D8-606E858CFAC5}">
      <text>
        <r>
          <rPr>
            <b/>
            <sz val="9"/>
            <color indexed="81"/>
            <rFont val="Segoe UI"/>
            <family val="2"/>
          </rPr>
          <t>Stortecky Sebastian:</t>
        </r>
        <r>
          <rPr>
            <sz val="9"/>
            <color indexed="81"/>
            <rFont val="Segoe UI"/>
            <family val="2"/>
          </rPr>
          <t xml:space="preserve">
if the data is available; if not: please add the total fossil fuel consumption</t>
        </r>
      </text>
    </comment>
    <comment ref="G25" authorId="0" shapeId="0" xr:uid="{1B5A098B-5983-445D-B728-646091CE2256}">
      <text>
        <r>
          <rPr>
            <b/>
            <sz val="9"/>
            <color indexed="81"/>
            <rFont val="Segoe UI"/>
            <family val="2"/>
          </rPr>
          <t>Stortecky Sebastian:</t>
        </r>
        <r>
          <rPr>
            <sz val="9"/>
            <color indexed="81"/>
            <rFont val="Segoe UI"/>
            <family val="2"/>
          </rPr>
          <t xml:space="preserve">
if the data is available; if not: please add the total fossil fuel consumption</t>
        </r>
      </text>
    </comment>
    <comment ref="G26" authorId="0" shapeId="0" xr:uid="{C143DCF1-491E-4401-BFE0-7DE56536B699}">
      <text>
        <r>
          <rPr>
            <b/>
            <sz val="9"/>
            <color indexed="81"/>
            <rFont val="Segoe UI"/>
            <family val="2"/>
          </rPr>
          <t>Stortecky Sebastian:</t>
        </r>
        <r>
          <rPr>
            <sz val="9"/>
            <color indexed="81"/>
            <rFont val="Segoe UI"/>
            <family val="2"/>
          </rPr>
          <t xml:space="preserve">
if the data is available; if not: please add the total fossil fuel consumption</t>
        </r>
      </text>
    </comment>
    <comment ref="G27" authorId="0" shapeId="0" xr:uid="{4CA83FD4-74A8-4197-81C5-2B16B480A79F}">
      <text>
        <r>
          <rPr>
            <b/>
            <sz val="9"/>
            <color indexed="81"/>
            <rFont val="Segoe UI"/>
            <family val="2"/>
          </rPr>
          <t>Stortecky Sebastian:</t>
        </r>
        <r>
          <rPr>
            <sz val="9"/>
            <color indexed="81"/>
            <rFont val="Segoe UI"/>
            <family val="2"/>
          </rPr>
          <t xml:space="preserve">
if the data is available; if not: please add the total electricity consumption for appliances</t>
        </r>
      </text>
    </comment>
    <comment ref="G28" authorId="0" shapeId="0" xr:uid="{336C18D0-44CC-4053-9372-9945534C72A1}">
      <text>
        <r>
          <rPr>
            <b/>
            <sz val="9"/>
            <color indexed="81"/>
            <rFont val="Segoe UI"/>
            <family val="2"/>
          </rPr>
          <t>Stortecky Sebastian:</t>
        </r>
        <r>
          <rPr>
            <sz val="9"/>
            <color indexed="81"/>
            <rFont val="Segoe UI"/>
            <family val="2"/>
          </rPr>
          <t xml:space="preserve">
if the data is available; if not: please add the total fossil fuel consumption</t>
        </r>
      </text>
    </comment>
    <comment ref="G36" authorId="0" shapeId="0" xr:uid="{56C61597-C68B-465A-A7F2-F41199C81476}">
      <text>
        <r>
          <rPr>
            <b/>
            <sz val="9"/>
            <color indexed="81"/>
            <rFont val="Segoe UI"/>
            <family val="2"/>
          </rPr>
          <t>Stortecky Sebastian:</t>
        </r>
        <r>
          <rPr>
            <sz val="9"/>
            <color indexed="81"/>
            <rFont val="Segoe UI"/>
            <family val="2"/>
          </rPr>
          <t xml:space="preserve">
if the data is available; if not: please add the total fossil fuel consumption</t>
        </r>
      </text>
    </comment>
    <comment ref="G37" authorId="0" shapeId="0" xr:uid="{A35EFC74-AF6E-435B-9F21-33AB8355580F}">
      <text>
        <r>
          <rPr>
            <b/>
            <sz val="9"/>
            <color indexed="81"/>
            <rFont val="Segoe UI"/>
            <family val="2"/>
          </rPr>
          <t>Stortecky Sebastian:</t>
        </r>
        <r>
          <rPr>
            <sz val="9"/>
            <color indexed="81"/>
            <rFont val="Segoe UI"/>
            <family val="2"/>
          </rPr>
          <t xml:space="preserve">
if the data is available; if not: please add the total fossil fuel consumption</t>
        </r>
      </text>
    </comment>
    <comment ref="G38" authorId="0" shapeId="0" xr:uid="{E1518642-66F0-4FC2-9584-D69B50D9B1C6}">
      <text>
        <r>
          <rPr>
            <b/>
            <sz val="9"/>
            <color indexed="81"/>
            <rFont val="Segoe UI"/>
            <family val="2"/>
          </rPr>
          <t>Stortecky Sebastian:</t>
        </r>
        <r>
          <rPr>
            <sz val="9"/>
            <color indexed="81"/>
            <rFont val="Segoe UI"/>
            <family val="2"/>
          </rPr>
          <t xml:space="preserve">
if the data is available; if not: please add the total fossil fuel consumption</t>
        </r>
      </text>
    </comment>
    <comment ref="G39" authorId="0" shapeId="0" xr:uid="{3DC7AE12-790B-4C50-9207-418A650128DA}">
      <text>
        <r>
          <rPr>
            <b/>
            <sz val="9"/>
            <color indexed="81"/>
            <rFont val="Segoe UI"/>
            <family val="2"/>
          </rPr>
          <t>Stortecky Sebastian:</t>
        </r>
        <r>
          <rPr>
            <sz val="9"/>
            <color indexed="81"/>
            <rFont val="Segoe UI"/>
            <family val="2"/>
          </rPr>
          <t xml:space="preserve">
if the data is available; if not: please add the total electricity consumption for appliances</t>
        </r>
      </text>
    </comment>
    <comment ref="G40" authorId="0" shapeId="0" xr:uid="{5038A9E2-BACE-4D75-87C2-446B91670667}">
      <text>
        <r>
          <rPr>
            <b/>
            <sz val="9"/>
            <color indexed="81"/>
            <rFont val="Segoe UI"/>
            <family val="2"/>
          </rPr>
          <t>Stortecky Sebastian:</t>
        </r>
        <r>
          <rPr>
            <sz val="9"/>
            <color indexed="81"/>
            <rFont val="Segoe UI"/>
            <family val="2"/>
          </rPr>
          <t xml:space="preserve">
if the data is available; if not: please add the total fossil fuel consumption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 Hainoun</author>
    <author>HAINOUN, Ali</author>
  </authors>
  <commentList>
    <comment ref="J41" authorId="0" shapeId="0" xr:uid="{450FB8E7-8506-4769-AA05-2825F2693CD7}">
      <text>
        <r>
          <rPr>
            <b/>
            <sz val="9"/>
            <color indexed="81"/>
            <rFont val="Tahoma"/>
            <family val="2"/>
          </rPr>
          <t>A. Hainoun:</t>
        </r>
        <r>
          <rPr>
            <sz val="9"/>
            <color indexed="81"/>
            <rFont val="Tahoma"/>
            <family val="2"/>
          </rPr>
          <t xml:space="preserve">
WNA gives 49 MJ/kg</t>
        </r>
      </text>
    </comment>
    <comment ref="J43" authorId="0" shapeId="0" xr:uid="{1E26259B-303B-445D-9EB4-361F95988477}">
      <text>
        <r>
          <rPr>
            <b/>
            <sz val="9"/>
            <color indexed="81"/>
            <rFont val="Tahoma"/>
            <family val="2"/>
          </rPr>
          <t>A. Hainoun:</t>
        </r>
        <r>
          <rPr>
            <sz val="9"/>
            <color indexed="81"/>
            <rFont val="Tahoma"/>
            <family val="2"/>
          </rPr>
          <t xml:space="preserve">
37 MJ/m3</t>
        </r>
      </text>
    </comment>
    <comment ref="J44" authorId="1" shapeId="0" xr:uid="{AEC79464-A2D2-4E53-8368-96185DA10F10}">
      <text>
        <r>
          <rPr>
            <b/>
            <sz val="9"/>
            <color indexed="81"/>
            <rFont val="Tahoma"/>
            <family val="2"/>
          </rPr>
          <t>HAINOUN, Ali:</t>
        </r>
        <r>
          <rPr>
            <sz val="9"/>
            <color indexed="81"/>
            <rFont val="Tahoma"/>
            <family val="2"/>
          </rPr>
          <t xml:space="preserve">
Qatar LNG
Australia LNG: 55
see table below !</t>
        </r>
      </text>
    </comment>
    <comment ref="J57" authorId="1" shapeId="0" xr:uid="{DF28A881-D3E2-4C35-B800-48577478AAE1}">
      <text>
        <r>
          <rPr>
            <b/>
            <sz val="9"/>
            <color indexed="81"/>
            <rFont val="Tahoma"/>
            <family val="2"/>
          </rPr>
          <t>HAINOUN, Ali:</t>
        </r>
        <r>
          <rPr>
            <sz val="9"/>
            <color indexed="81"/>
            <rFont val="Tahoma"/>
            <family val="2"/>
          </rPr>
          <t xml:space="preserve">
burn-up 45000 MWd/t
E=45000*24*3600/1000
=3888000 MJ/kg</t>
        </r>
      </text>
    </comment>
    <comment ref="H73" authorId="1" shapeId="0" xr:uid="{B4170E6B-06A3-4675-85C3-934E20A7301C}">
      <text>
        <r>
          <rPr>
            <b/>
            <sz val="9"/>
            <color indexed="81"/>
            <rFont val="Tahoma"/>
            <family val="2"/>
          </rPr>
          <t>HAINOUN, Ali:</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tc={F0896DCE-2879-458B-8FAC-284DAEADBFCD}</author>
  </authors>
  <commentList>
    <comment ref="C6" authorId="0" shapeId="0" xr:uid="{F0896DCE-2879-458B-8FAC-284DAEADBFCD}">
      <text>
        <t>[Threaded comment]
Your version of Excel allows you to read this threaded comment; however, any edits to it will get removed if the file is opened in a newer version of Excel. Learn more: https://go.microsoft.com/fwlink/?linkid=870924
Comment:
    @Stortecky Sebastian @Hainoun Ali Why is this asked in kWh/day? kWh/a seems like a much more common information to have
Reply:
    Also, this value can be easily retreived by us, also with better documentation. No need to ask them in my Opinion. It would be more valuable to have information on rooftop orientations. But this could should be modeled, using the BOKU tool. See also: 10.1016/j.compenvurbsys.2015.03.002
Reply:
    @Horak Daniel: Yes I fully agree, I also think, that maybe kWh/m²/year is the better unit- I will change that --&gt; Ali has provided a link with the solar potential (Global Horizontal Irradiance)- so the data field is optional. But I fully agree, that the rooftop orientation is a valueable information, but I think for a whole city, it is difficult for the city to provide this information. We should work with average values to calculate the solar yield.
Reply:
    It is the same iformation. Daily values give an idea about the distribution of solar radiation of the considered site (see link). At the end all our calculations are annually agregated.</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Hainoun Ali</author>
  </authors>
  <commentList>
    <comment ref="C14" authorId="0" shapeId="0" xr:uid="{7CF49471-6EE3-4A3C-B56C-33576E55D1CC}">
      <text>
        <r>
          <rPr>
            <b/>
            <sz val="9"/>
            <color indexed="81"/>
            <rFont val="Tahoma"/>
            <family val="2"/>
          </rPr>
          <t>Hainoun Ali:</t>
        </r>
        <r>
          <rPr>
            <sz val="9"/>
            <color indexed="81"/>
            <rFont val="Tahoma"/>
            <family val="2"/>
          </rPr>
          <t xml:space="preserve">
MW/ha=100 W/m2</t>
        </r>
      </text>
    </comment>
    <comment ref="D14" authorId="0" shapeId="0" xr:uid="{D873F720-CC33-42AC-992B-0EA6084A621E}">
      <text>
        <r>
          <rPr>
            <b/>
            <sz val="9"/>
            <color indexed="81"/>
            <rFont val="Tahoma"/>
            <family val="2"/>
          </rPr>
          <t>Hainoun Ali:</t>
        </r>
        <r>
          <rPr>
            <sz val="9"/>
            <color indexed="81"/>
            <rFont val="Tahoma"/>
            <family val="2"/>
          </rPr>
          <t xml:space="preserve">
for country parameter of wind energy intnesity see https://globalwindatlas.info/en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tc={CF08D9D1-C41E-424F-90B2-02EB5BF200DD}</author>
  </authors>
  <commentList>
    <comment ref="B7" authorId="0" shapeId="0" xr:uid="{CF08D9D1-C41E-424F-90B2-02EB5BF200DD}">
      <text>
        <t xml:space="preserve">[Threaded comment]
Your version of Excel allows you to read this threaded comment; however, any edits to it will get removed if the file is opened in a newer version of Excel. Learn more: https://go.microsoft.com/fwlink/?linkid=870924
Comment:
    @Stortecky Sebastian @Hainoun Ali This should rather be done by asking waste amounts and information about waste separation etc., so we can estimate the heating value of the waste ourselves. I would not expect them to have this information, nor do I think they would be pleased having to calculate this by themselves
Reply:
    @Horak Daniel: If they have no waste incineration plant in the municipality/city, then the amount of energy by the municipal waste will be 0. But in case they have some studies or they have already have installed a waste incineration plant, they know the amount of energy, they produce. But you are right, that it is good maybe to provide an optional calculation table to support the cities/municipalities to estimate the energy potential of their waste, which is proposed to incinerated.
Reply:
    Please be aware that the physical energy content of waste differes from a city to another. Hence, it is better to know the energy conten. Sebastian conclusion is spot on. 
Reply:
    of course the physical content differes between cities. I just really do not expect them to be aware of this energy content, but rather to know about amounts of waste. Hence my proposition. 
Reply:
    Ok. That is a good point. We ask them then to provide the estimated amount in case no information are available about energy content. 
Reply:
    Another point could be that waste might be exportet currently to other municipalities, where it might be burned. I would say, we should inquire generally about how waste is managed and proceed individually with this topic. 
Reply:
    yes, include that as note, so we get the right balance. important for us how much will be burned within the community boundary (and also what CO2 will be emitted). </t>
      </text>
    </comment>
  </commentList>
</comments>
</file>

<file path=xl/sharedStrings.xml><?xml version="1.0" encoding="utf-8"?>
<sst xmlns="http://schemas.openxmlformats.org/spreadsheetml/2006/main" count="2161" uniqueCount="746">
  <si>
    <t xml:space="preserve">Template </t>
  </si>
  <si>
    <t>For preparing MAED-City base year input data</t>
  </si>
  <si>
    <t>(at the level of Cities and Regions)</t>
  </si>
  <si>
    <t xml:space="preserve">Base Year Data (2018/2019):   </t>
  </si>
  <si>
    <t xml:space="preserve">1- Annual energy balance by fuel and consumption sector </t>
  </si>
  <si>
    <t xml:space="preserve">2- Demographic, socio-economic and technological determinants </t>
  </si>
  <si>
    <t xml:space="preserve"> of end-use consumption</t>
  </si>
  <si>
    <t xml:space="preserve">AIT Austrian Institute of Technology GmbH </t>
  </si>
  <si>
    <t>Center of Energy, Digital Resilient Cities (DRC)</t>
  </si>
  <si>
    <t xml:space="preserve">Author: A. Hainoun, S. Stortecky, D. Horak, B. Falay, C. Reynaud,  </t>
  </si>
  <si>
    <t>A. Kaufmann, S. Zamini, L. Lorenzen,  A. Baskot</t>
  </si>
  <si>
    <t>Created: 10/12/2021</t>
  </si>
  <si>
    <t>Modified: 05/01/2023</t>
  </si>
  <si>
    <t xml:space="preserve">last update: </t>
  </si>
  <si>
    <t>US$-2017</t>
  </si>
  <si>
    <t>Switzerland</t>
  </si>
  <si>
    <t xml:space="preserve">source: </t>
  </si>
  <si>
    <t xml:space="preserve">times statistics, </t>
  </si>
  <si>
    <t>Describing seperatelly the energy consumption for food production (kWh/ton)</t>
  </si>
  <si>
    <t>Definitions &amp; Glossary</t>
  </si>
  <si>
    <t>Input parameter</t>
  </si>
  <si>
    <t>Meaning/Definition</t>
  </si>
  <si>
    <t>Demography:</t>
  </si>
  <si>
    <t xml:space="preserve">Total Population </t>
  </si>
  <si>
    <t>it covers the official total poulation in the BY (considering the defined city boundary)</t>
  </si>
  <si>
    <t>annual growth rate</t>
  </si>
  <si>
    <t>the official future forcasting, if available</t>
  </si>
  <si>
    <t>Social indicators:</t>
  </si>
  <si>
    <t xml:space="preserve">Potential labour force </t>
  </si>
  <si>
    <t>Fraction of population of age 15-64 in the total population</t>
  </si>
  <si>
    <t xml:space="preserve">Participating labour force </t>
  </si>
  <si>
    <t>Fraction of potential labour force actually working</t>
  </si>
  <si>
    <t>Manufacturing subsectors (clustering):</t>
  </si>
  <si>
    <t>Basic Materials</t>
  </si>
  <si>
    <r>
      <t>This category includes the following subsectors:</t>
    </r>
    <r>
      <rPr>
        <sz val="11"/>
        <rFont val="Calibri"/>
        <family val="2"/>
        <scheme val="minor"/>
      </rPr>
      <t xml:space="preserve">
Iron and Steel; Chemical and Petrochemical; Non-Ferrous Metals; Non-Metalic Minerals; Furniture, Wood and Wood Products; Pulp, Paper and Print</t>
    </r>
  </si>
  <si>
    <t>Machinery and equipment</t>
  </si>
  <si>
    <r>
      <t>This category includes the subsectors:</t>
    </r>
    <r>
      <rPr>
        <sz val="11"/>
        <rFont val="Calibri"/>
        <family val="2"/>
        <scheme val="minor"/>
      </rPr>
      <t xml:space="preserve">
Transportation Equipment; Machinery Manufacturing; Computer and Electronic Product Manufacturing; Electrical Equipment, Appliance, and Component Manufacturing</t>
    </r>
  </si>
  <si>
    <t xml:space="preserve">Non durable industry </t>
  </si>
  <si>
    <r>
      <rPr>
        <b/>
        <sz val="11"/>
        <rFont val="Calibri"/>
        <family val="2"/>
        <scheme val="minor"/>
      </rPr>
      <t xml:space="preserve">This category includes the subsectors: </t>
    </r>
    <r>
      <rPr>
        <sz val="11"/>
        <rFont val="Calibri"/>
        <family val="2"/>
        <scheme val="minor"/>
      </rPr>
      <t xml:space="preserve">
Textile and leather manufacturing: textile, clothing, ruber and apparel industry; food and beverage and tobacco, paper products, Leather and allied Product Manufacturing; cosmetic and cleaning products, etc.</t>
    </r>
  </si>
  <si>
    <t>Miscellaneous</t>
  </si>
  <si>
    <t>Other manufacturing activities, not specified above</t>
  </si>
  <si>
    <t>Technological indicators:</t>
  </si>
  <si>
    <t>Energy carrier: firewood</t>
  </si>
  <si>
    <r>
      <t xml:space="preserve">When wood is directly used as fuel, </t>
    </r>
    <r>
      <rPr>
        <b/>
        <sz val="11"/>
        <rFont val="Calibri"/>
        <family val="2"/>
        <scheme val="minor"/>
      </rPr>
      <t>but is not treated (e.g. dried or put into the same shape)</t>
    </r>
  </si>
  <si>
    <t>Energy carrier: solid biofuel</t>
  </si>
  <si>
    <r>
      <t xml:space="preserve">When wood is used for fuel </t>
    </r>
    <r>
      <rPr>
        <b/>
        <sz val="11"/>
        <rFont val="Calibri"/>
        <family val="2"/>
        <scheme val="minor"/>
      </rPr>
      <t>and is treated (e.g. dried or put into the same shape --&gt; e.g.: Pellets, wood chips,…)</t>
    </r>
  </si>
  <si>
    <t xml:space="preserve">Manufacturing: Space and water heating </t>
  </si>
  <si>
    <t>temperature level &lt; 100 °C, which is used for space heating, hot water</t>
  </si>
  <si>
    <t>Manufacturing: Steam generation</t>
  </si>
  <si>
    <t>temperature level &lt; 200 °C, which is used for steam generation</t>
  </si>
  <si>
    <t>Manufacturing: furnace/direct heat</t>
  </si>
  <si>
    <t>temperature level &gt; 200 °C, which is used for furnaces</t>
  </si>
  <si>
    <t xml:space="preserve">Heating Degree Days (HDD) </t>
  </si>
  <si>
    <t xml:space="preserve">HDD: Weather-based indexe used to claculate the annual building space heat demand. One HDD is the difference (per day) between a room temperature of 20 ° C and the middle outside temperature, provided this outside temperature is less than 12 ° C (Austrian Reference Temp.). It varies significantly among EU Memeber STates. </t>
  </si>
  <si>
    <t xml:space="preserve">
Cooling Degree Days (CDD)</t>
  </si>
  <si>
    <t>CDD: Weather-based indexe used to claculate the annual building space cooling demand. One CDD is the difference (per day) between a room temperature of 22 ° C and the middle outside temperature, provided this outside temperature is higher than 25/30 °C (Refrence temp. are sitll not fixed among all EU countries).</t>
  </si>
  <si>
    <t>Heating Trigger Temperature</t>
  </si>
  <si>
    <t>The outdoor temperature threshold below which the buildings need to be heated (e.g., 12 ° C in AT and 15 ° C in GE)</t>
  </si>
  <si>
    <t>Heating Desired Temperature</t>
  </si>
  <si>
    <t>The average targeted indoor temperature used for the heating systems (20 °C)</t>
  </si>
  <si>
    <t>CoolingTrigger Temperature</t>
  </si>
  <si>
    <t>The outdoor temperature threshold above which the buildings need to be cooled down (30 °C)</t>
  </si>
  <si>
    <t>Cooling Desired Temperature</t>
  </si>
  <si>
    <t>The average targeted indoor temperature used for the cooling systems (22 °C)</t>
  </si>
  <si>
    <t>Unit: pkm</t>
  </si>
  <si>
    <t xml:space="preserve">Person-kilo-meters: a measures of travelled distance for person </t>
  </si>
  <si>
    <t>Unit: tkm</t>
  </si>
  <si>
    <t xml:space="preserve">Tonne-kilo-meters: a measures of transport distance for freight </t>
  </si>
  <si>
    <t xml:space="preserve">Abbreviation </t>
  </si>
  <si>
    <t xml:space="preserve">Meaning </t>
  </si>
  <si>
    <t>GFA</t>
  </si>
  <si>
    <t>Gross floor area: it referes to the living space including interior and exterior walls. It is used as a reference area for calculating the HWB.</t>
  </si>
  <si>
    <t>GDP</t>
  </si>
  <si>
    <t>Gross domestic product (here based on the municipality)</t>
  </si>
  <si>
    <t>RE</t>
  </si>
  <si>
    <t>Renewable energies</t>
  </si>
  <si>
    <t>EL</t>
  </si>
  <si>
    <t>electricity</t>
  </si>
  <si>
    <t>FE</t>
  </si>
  <si>
    <t>Final energy demand: The energy forms supplied to the end consumer from outside in form of fossil and renewable fuels, electrical energy and district heating to enable the provision of useful energy.</t>
  </si>
  <si>
    <t xml:space="preserve">Energieservices </t>
  </si>
  <si>
    <t>are the benefits that energy carriers provide for human wellbeing! They serve the fulfillment of human desires in  form of warmth comfort, cooking, lighting, movement, entertainment, etc.</t>
  </si>
  <si>
    <t>FW</t>
  </si>
  <si>
    <t>District heating</t>
  </si>
  <si>
    <t>HD</t>
  </si>
  <si>
    <t>Heating days: describe the number of days on which average houses have to be heated.</t>
  </si>
  <si>
    <t>HDD</t>
  </si>
  <si>
    <t>Heating degree days: also describe how much temperature difference there is between outside and inside on heating days.</t>
  </si>
  <si>
    <t>SH</t>
  </si>
  <si>
    <t>Space heating demand: The amount of useful heat provided in the rooms (room heating) in order to keep it at a normatively required room temperature</t>
  </si>
  <si>
    <t>HH</t>
  </si>
  <si>
    <t>household</t>
  </si>
  <si>
    <t>STP</t>
  </si>
  <si>
    <t>Sewage treatment plant</t>
  </si>
  <si>
    <t>SC</t>
  </si>
  <si>
    <t>Space cooling demand: the amount of heat dissipated from the rooms in order to keep the room temperature below the setpoint.</t>
  </si>
  <si>
    <t>CED</t>
  </si>
  <si>
    <t>Cooling energy demand: Electricity required to provide the cooling demand, including the losses in the cooling system.</t>
  </si>
  <si>
    <t>KICET</t>
  </si>
  <si>
    <t xml:space="preserve">Key Indicators for Tracking the Clean Energy Transition </t>
  </si>
  <si>
    <t>NRB</t>
  </si>
  <si>
    <t>Non-residential buildings: include those buildings that are used by service activities (office buildings, hospitals, restaurants, schools, etc.)</t>
  </si>
  <si>
    <t>UE</t>
  </si>
  <si>
    <t>Useful energy: the forms of useful energy (heat, cold, movement, lighting, entertainment) that are created during the conversion of the final energy through the use of useful technology (e.g. heating systems, ovens, devices, vehicles, etc.), which are then used to provide the energy services.</t>
  </si>
  <si>
    <t>PE</t>
  </si>
  <si>
    <t>Primary energy: The energy extracted from the energy resources (fossil, renewable, nuclear) and provided to the end-users in from of final energy after numerous conversions, processing, transport and distribution along the energy supply chain.</t>
  </si>
  <si>
    <t>PV</t>
  </si>
  <si>
    <t>Photovoltaics</t>
  </si>
  <si>
    <t>ST</t>
  </si>
  <si>
    <t>Solar thermal</t>
  </si>
  <si>
    <t>Household buildings: include those buildings that are inhabited by private households,</t>
  </si>
  <si>
    <t>Whg</t>
  </si>
  <si>
    <t>apartment</t>
  </si>
  <si>
    <t>WH</t>
  </si>
  <si>
    <t xml:space="preserve">Hot water heating demand </t>
  </si>
  <si>
    <t>BY</t>
  </si>
  <si>
    <t>Base Year</t>
  </si>
  <si>
    <t>FF</t>
  </si>
  <si>
    <t>Fossil Fuel</t>
  </si>
  <si>
    <t>SMCTs</t>
  </si>
  <si>
    <t>Small and medium-sized cities and towns ()</t>
  </si>
  <si>
    <t>Total City Final Energy Consumption by Sector and Fuel for the Base Year (GWh)</t>
  </si>
  <si>
    <t>Consumption Sector</t>
  </si>
  <si>
    <t xml:space="preserve"> Thermal use, fossil </t>
  </si>
  <si>
    <t>Fossil Fuel, thermal use</t>
  </si>
  <si>
    <t xml:space="preserve">Motor Fuels, fossil </t>
  </si>
  <si>
    <t>Fossil Fuel, Motive power</t>
  </si>
  <si>
    <t>Feed stocks</t>
  </si>
  <si>
    <t xml:space="preserve">Total Fossil Fuel (thermal and motor fuel) </t>
  </si>
  <si>
    <t>Electricity</t>
  </si>
  <si>
    <t>Total DH+ Electricity</t>
  </si>
  <si>
    <t>Renewable energy carriers</t>
  </si>
  <si>
    <t xml:space="preserve">Total RE </t>
  </si>
  <si>
    <t>Grand Total</t>
  </si>
  <si>
    <t>Natural gas</t>
  </si>
  <si>
    <t>LPG</t>
  </si>
  <si>
    <t>Heating Oil</t>
  </si>
  <si>
    <t>Coal</t>
  </si>
  <si>
    <t xml:space="preserve">                     Combustible fossil waste</t>
  </si>
  <si>
    <t>Other fossil energy carrier</t>
  </si>
  <si>
    <t>Diesel</t>
  </si>
  <si>
    <t>Gasoline</t>
  </si>
  <si>
    <t>CNG</t>
  </si>
  <si>
    <t xml:space="preserve">Solar thermal </t>
  </si>
  <si>
    <t>Heat pump</t>
  </si>
  <si>
    <t>H2</t>
  </si>
  <si>
    <t>Combustible biogenic waste</t>
  </si>
  <si>
    <t>Firewood</t>
  </si>
  <si>
    <t>Biofuel (solid, liquid, gaseous)</t>
  </si>
  <si>
    <t>Agriculture</t>
  </si>
  <si>
    <t>Construction</t>
  </si>
  <si>
    <t>Mining</t>
  </si>
  <si>
    <t>Manufacturing</t>
  </si>
  <si>
    <t>Transport/Mobility</t>
  </si>
  <si>
    <t>Household</t>
  </si>
  <si>
    <t>Sevice</t>
  </si>
  <si>
    <t>Total</t>
  </si>
  <si>
    <t>References</t>
  </si>
  <si>
    <t>Please include here all references used in collecting the above data, e.g.</t>
  </si>
  <si>
    <t xml:space="preserve">Statistics Austria (2021) Useful energy analysis. Final energy consumption 1993 to 2020 by fuels and useful energy categories for Vienna. Available at: </t>
  </si>
  <si>
    <t xml:space="preserve">https://www.statistik.at/en/statistics/energy-and-environment/energy/useful-energy-analysis </t>
  </si>
  <si>
    <t>Population and GDP Data</t>
  </si>
  <si>
    <t>Legend (for the required data)</t>
  </si>
  <si>
    <t>Parameter</t>
  </si>
  <si>
    <t>Unit</t>
  </si>
  <si>
    <t>City/Municipality</t>
  </si>
  <si>
    <t>Region</t>
  </si>
  <si>
    <t>Example</t>
  </si>
  <si>
    <t>Source</t>
  </si>
  <si>
    <t>Year</t>
  </si>
  <si>
    <t>URL</t>
  </si>
  <si>
    <t xml:space="preserve"> </t>
  </si>
  <si>
    <t xml:space="preserve">Total population </t>
  </si>
  <si>
    <t xml:space="preserve"> million</t>
  </si>
  <si>
    <t>Lokal (z.B. city/municipality)</t>
  </si>
  <si>
    <t>Population average growth rate: 2018-2030</t>
  </si>
  <si>
    <t>%</t>
  </si>
  <si>
    <t>Region (z.B. NUTS3, NUTS2)</t>
  </si>
  <si>
    <t>Population average growth rate: 2030-2040</t>
  </si>
  <si>
    <t>Average household size (capita per household)</t>
  </si>
  <si>
    <t>(capita/hh)</t>
  </si>
  <si>
    <t>Mandatory input</t>
  </si>
  <si>
    <t>Households</t>
  </si>
  <si>
    <t>[million]</t>
  </si>
  <si>
    <t>Optional</t>
  </si>
  <si>
    <t xml:space="preserve">Potential labour force (lf) </t>
  </si>
  <si>
    <t xml:space="preserve">Calculation </t>
  </si>
  <si>
    <t>Participating Labour Force</t>
  </si>
  <si>
    <t xml:space="preserve">Not applicable </t>
  </si>
  <si>
    <t xml:space="preserve">Active labour force </t>
  </si>
  <si>
    <t>Abcdef</t>
  </si>
  <si>
    <t>external reseach / editing</t>
  </si>
  <si>
    <t>potentially incorrect</t>
  </si>
  <si>
    <t>[10^9 €]</t>
  </si>
  <si>
    <t>valid bzw. reviewed</t>
  </si>
  <si>
    <t>GDP average growth rate: 2018-2030</t>
  </si>
  <si>
    <t>GDP average growth rate: 2030-2040</t>
  </si>
  <si>
    <t>GDP Per Capita</t>
  </si>
  <si>
    <t>[10^3 €]</t>
  </si>
  <si>
    <t>Distribution of GDP by economic activity</t>
  </si>
  <si>
    <t>Urban farming</t>
  </si>
  <si>
    <t>Other Agricultural activities</t>
  </si>
  <si>
    <t xml:space="preserve">Construction </t>
  </si>
  <si>
    <t>Buildings</t>
  </si>
  <si>
    <t>urban Infrastructure (Roads, Bridges, Tunnels,..)</t>
  </si>
  <si>
    <t xml:space="preserve">Mining&amp;quairing </t>
  </si>
  <si>
    <t>Basic metals</t>
  </si>
  <si>
    <t>Print (&amp;paper)</t>
  </si>
  <si>
    <t>Machinery</t>
  </si>
  <si>
    <t>Food and Beverages</t>
  </si>
  <si>
    <t>Other Industries</t>
  </si>
  <si>
    <t>Service</t>
  </si>
  <si>
    <t xml:space="preserve">Offices, finance &amp; insurance and public adminstration </t>
  </si>
  <si>
    <t xml:space="preserve">Trade, shoping, wholesale and retail </t>
  </si>
  <si>
    <t xml:space="preserve">Hotels, Restaurants, Catering and Hospitality Services </t>
  </si>
  <si>
    <t>Educational Institutions</t>
  </si>
  <si>
    <t>Hospitals</t>
  </si>
  <si>
    <t>Other services</t>
  </si>
  <si>
    <t>Electricity, gas, steam and air conditioning supply</t>
  </si>
  <si>
    <t>Degree Days</t>
  </si>
  <si>
    <t>Heating degree days (HDD)</t>
  </si>
  <si>
    <t>[days°C]</t>
  </si>
  <si>
    <t>optional</t>
  </si>
  <si>
    <t>Cooling degree days (CDD)</t>
  </si>
  <si>
    <t>[°C]</t>
  </si>
  <si>
    <t>Cooling Trigger Temperature</t>
  </si>
  <si>
    <t>January</t>
  </si>
  <si>
    <t>February</t>
  </si>
  <si>
    <t>March</t>
  </si>
  <si>
    <t>April</t>
  </si>
  <si>
    <t>May</t>
  </si>
  <si>
    <t>June</t>
  </si>
  <si>
    <t>July</t>
  </si>
  <si>
    <t>August</t>
  </si>
  <si>
    <t>September</t>
  </si>
  <si>
    <t>October</t>
  </si>
  <si>
    <t>November</t>
  </si>
  <si>
    <t>December</t>
  </si>
  <si>
    <t>Household Energy Factors</t>
  </si>
  <si>
    <t>General data on dwellings</t>
  </si>
  <si>
    <t xml:space="preserve"> The household sector is divided in different categories according to the building typologies: single-family, multi-fanily and appartment blocks. Energy factors can be found in energy balances.</t>
  </si>
  <si>
    <t>Dwellings</t>
  </si>
  <si>
    <t>Number of Dwellings</t>
  </si>
  <si>
    <t>Dwellings requiring Heating</t>
  </si>
  <si>
    <t>Days °C</t>
  </si>
  <si>
    <t>Dwelling factors</t>
  </si>
  <si>
    <t>Share of dwelling types</t>
  </si>
  <si>
    <t xml:space="preserve">Share of Single-family houses (1 dw) </t>
  </si>
  <si>
    <t xml:space="preserve">Share of Multi-family houses (3 - 10 dw) </t>
  </si>
  <si>
    <t xml:space="preserve">Share of appartments  (&gt; 10 dw) </t>
  </si>
  <si>
    <t>Average dwelling size</t>
  </si>
  <si>
    <t xml:space="preserve">Single-family houses (1 dw) </t>
  </si>
  <si>
    <t>m²</t>
  </si>
  <si>
    <t xml:space="preserve">Multi-family houses (3 - 10 dw) </t>
  </si>
  <si>
    <t xml:space="preserve">Appartments  (&gt; 10 dw) </t>
  </si>
  <si>
    <t>Share of the heated area</t>
  </si>
  <si>
    <t>Average heat loss rate</t>
  </si>
  <si>
    <t>Wh/(sqm.°C)</t>
  </si>
  <si>
    <t>Share of dwelling with AC</t>
  </si>
  <si>
    <t>AC energy consumption (annual)</t>
  </si>
  <si>
    <t>kWh/dw/yr</t>
  </si>
  <si>
    <t xml:space="preserve">Dwelling final energy consumption per use type (cooking, hotwater, electricity for appliances) </t>
  </si>
  <si>
    <t>Dwelling factors for cooking, hot water and appliances</t>
  </si>
  <si>
    <t>Cooking consumption per capita</t>
  </si>
  <si>
    <t>Share of dwellings with hot water (HW)</t>
  </si>
  <si>
    <t>Hot water consumption per capita</t>
  </si>
  <si>
    <t>kWh/cap/yr</t>
  </si>
  <si>
    <t>Electricity consumption for appliances</t>
  </si>
  <si>
    <t>Penetration* of energy carriers for Households (final energy demand)</t>
  </si>
  <si>
    <t>Space heating</t>
  </si>
  <si>
    <t xml:space="preserve">   (thereof: heat pump)</t>
  </si>
  <si>
    <t>District heat</t>
  </si>
  <si>
    <t>Fossil fuels</t>
  </si>
  <si>
    <t>,) Natural Gas</t>
  </si>
  <si>
    <t>,) LPG</t>
  </si>
  <si>
    <t>,) Heating Oil</t>
  </si>
  <si>
    <t>,) Coal</t>
  </si>
  <si>
    <t>,) Other fossil fuel</t>
  </si>
  <si>
    <t>Water heating</t>
  </si>
  <si>
    <t>Solar thermal share</t>
  </si>
  <si>
    <t>Cooking</t>
  </si>
  <si>
    <t>&gt;) Natural Gas</t>
  </si>
  <si>
    <t>&gt;) LPG</t>
  </si>
  <si>
    <t>&gt;) Heating Oil</t>
  </si>
  <si>
    <t>&gt;) Other fossil fuel</t>
  </si>
  <si>
    <t>AC</t>
  </si>
  <si>
    <t>Non-electric</t>
  </si>
  <si>
    <t>Service Energy Factors</t>
  </si>
  <si>
    <t>Basic data of the Service sector</t>
  </si>
  <si>
    <t>Labour force in service sector</t>
  </si>
  <si>
    <t>[%]</t>
  </si>
  <si>
    <t>Floor area per employee</t>
  </si>
  <si>
    <t>[sqm/empl]</t>
  </si>
  <si>
    <t>Labour force in  service sector</t>
  </si>
  <si>
    <t>Floor area of  service sector</t>
  </si>
  <si>
    <t>[million sqm]</t>
  </si>
  <si>
    <t>Factors for space heating and A/C</t>
  </si>
  <si>
    <t>Share of area requring space heating</t>
  </si>
  <si>
    <t>Area actually heated</t>
  </si>
  <si>
    <t>Specific space heating requirement</t>
  </si>
  <si>
    <t>[kWh/sqm/yr]</t>
  </si>
  <si>
    <t>Air conditionned floor area</t>
  </si>
  <si>
    <t>Specific cooling requirement</t>
  </si>
  <si>
    <t>Penetration of energy forms (final energy demand)</t>
  </si>
  <si>
    <t>Soft solar</t>
  </si>
  <si>
    <t>&gt;) Coal</t>
  </si>
  <si>
    <t>Other thermal uses (cooking, WH,..)</t>
  </si>
  <si>
    <t xml:space="preserve">              ,) Natural Gas</t>
  </si>
  <si>
    <t xml:space="preserve">   ,) LPG</t>
  </si>
  <si>
    <t xml:space="preserve">            ,) Heating Oil</t>
  </si>
  <si>
    <t xml:space="preserve">   ,) Coal</t>
  </si>
  <si>
    <t xml:space="preserve">                  ,) Other fossil fuel</t>
  </si>
  <si>
    <t>ACM - Energy Factors</t>
  </si>
  <si>
    <t>Penetration* of energy carriers for Agriculture, Construction and Mining (Final energy demand-thermal use)</t>
  </si>
  <si>
    <r>
      <rPr>
        <b/>
        <u/>
        <sz val="11"/>
        <color theme="1"/>
        <rFont val="Calibri"/>
        <family val="2"/>
        <scheme val="minor"/>
      </rPr>
      <t>Definition:</t>
    </r>
    <r>
      <rPr>
        <sz val="11"/>
        <color theme="1"/>
        <rFont val="Calibri"/>
        <family val="2"/>
        <scheme val="minor"/>
      </rPr>
      <t xml:space="preserve"> The </t>
    </r>
    <r>
      <rPr>
        <b/>
        <sz val="11"/>
        <color theme="1"/>
        <rFont val="Calibri"/>
        <family val="2"/>
        <scheme val="minor"/>
      </rPr>
      <t>thermal energy</t>
    </r>
    <r>
      <rPr>
        <sz val="11"/>
        <color theme="1"/>
        <rFont val="Calibri"/>
        <family val="2"/>
        <scheme val="minor"/>
      </rPr>
      <t xml:space="preserve"> is the energy necessary to produce heat for the given sectors.</t>
    </r>
  </si>
  <si>
    <t>* What share of energy carriers is being used for which kind of activity</t>
  </si>
  <si>
    <t>Biofuel (solid, liquid, gaseous) &amp; district heat</t>
  </si>
  <si>
    <t xml:space="preserve">Solar, thermal </t>
  </si>
  <si>
    <t>&gt;) combustible waste</t>
  </si>
  <si>
    <t>Solar</t>
  </si>
  <si>
    <t>Penetration* of energy carriers for Agriculture, Construction and Mining (Final energy demand-motive power)</t>
  </si>
  <si>
    <r>
      <rPr>
        <b/>
        <u/>
        <sz val="11"/>
        <color theme="1"/>
        <rFont val="Calibri"/>
        <family val="2"/>
        <scheme val="minor"/>
      </rPr>
      <t>Definition:</t>
    </r>
    <r>
      <rPr>
        <sz val="11"/>
        <color theme="1"/>
        <rFont val="Calibri"/>
        <family val="2"/>
        <scheme val="minor"/>
      </rPr>
      <t xml:space="preserve"> The </t>
    </r>
    <r>
      <rPr>
        <b/>
        <sz val="11"/>
        <color theme="1"/>
        <rFont val="Calibri"/>
        <family val="2"/>
        <scheme val="minor"/>
      </rPr>
      <t>motive energy</t>
    </r>
    <r>
      <rPr>
        <sz val="11"/>
        <color theme="1"/>
        <rFont val="Calibri"/>
        <family val="2"/>
        <scheme val="minor"/>
      </rPr>
      <t xml:space="preserve"> is the energy necessary to supply power to an engine, vehicle, etc</t>
    </r>
  </si>
  <si>
    <t>H2 (hydrogen)</t>
  </si>
  <si>
    <t>Motor fuels</t>
  </si>
  <si>
    <t>&gt;) Diesel</t>
  </si>
  <si>
    <t>&gt;) Gasoline</t>
  </si>
  <si>
    <t>Manufacturing - Energy Factors</t>
  </si>
  <si>
    <t>Penetration* of energy carriers for Manufacturing (Final energy demand-thermal use)</t>
  </si>
  <si>
    <t>Steam generation</t>
  </si>
  <si>
    <t>furnace/direct heat</t>
  </si>
  <si>
    <t>Space and water heating</t>
  </si>
  <si>
    <t>Of which:</t>
  </si>
  <si>
    <t xml:space="preserve">   Heat pumps, steam generation</t>
  </si>
  <si>
    <t xml:space="preserve">   Heat pumps, space and water heating </t>
  </si>
  <si>
    <t>steam generation</t>
  </si>
  <si>
    <t>Cogeneration</t>
  </si>
  <si>
    <t>Solar, steam generation</t>
  </si>
  <si>
    <t>Solar, space and water heating</t>
  </si>
  <si>
    <t>Penetration* of energy carriers for Manufacturing (Final energy demand-motive power)</t>
  </si>
  <si>
    <t>* What share of energy is being used for which kind of activity</t>
  </si>
  <si>
    <t>Urban Freight Transportation</t>
  </si>
  <si>
    <t>Total Freight-km</t>
  </si>
  <si>
    <t>[10^9 tkm]</t>
  </si>
  <si>
    <t xml:space="preserve">Modal split* of the urban freight transportation </t>
  </si>
  <si>
    <r>
      <t xml:space="preserve">* </t>
    </r>
    <r>
      <rPr>
        <b/>
        <sz val="11"/>
        <color theme="1"/>
        <rFont val="Calibri"/>
        <family val="2"/>
        <scheme val="minor"/>
      </rPr>
      <t>Definition :</t>
    </r>
    <r>
      <rPr>
        <sz val="11"/>
        <color theme="1"/>
        <rFont val="Calibri"/>
        <family val="2"/>
        <scheme val="minor"/>
      </rPr>
      <t xml:space="preserve"> </t>
    </r>
    <r>
      <rPr>
        <i/>
        <sz val="11"/>
        <color theme="1"/>
        <rFont val="Calibri"/>
        <family val="2"/>
        <scheme val="minor"/>
      </rPr>
      <t>A modal share (also called mode split, mode-share, or modal split) is the percentage of travellers using a particular type of transportation or number of trips using said type</t>
    </r>
  </si>
  <si>
    <t>Modal split</t>
  </si>
  <si>
    <t>Local trucks (diesel)</t>
  </si>
  <si>
    <t>Long dist. Trucks (diesel)</t>
  </si>
  <si>
    <t>Long distTr.-el</t>
  </si>
  <si>
    <t>Long dist.Tr-H2</t>
  </si>
  <si>
    <t>Local Tr. el</t>
  </si>
  <si>
    <t>Local Tr.-H2</t>
  </si>
  <si>
    <t>Train diesel</t>
  </si>
  <si>
    <t>Train el.</t>
  </si>
  <si>
    <t>Train H2</t>
  </si>
  <si>
    <t>Barge</t>
  </si>
  <si>
    <t>Pipeline (operated by diesel)</t>
  </si>
  <si>
    <t>Pipeline (operated by electricity)</t>
  </si>
  <si>
    <t>Passenger Transportation (Intracity &amp; Suburban commuters)</t>
  </si>
  <si>
    <t>Intracity (urban mobility)</t>
  </si>
  <si>
    <r>
      <t>Average annual distance travelled by each person:</t>
    </r>
    <r>
      <rPr>
        <sz val="12"/>
        <color theme="1"/>
        <rFont val="Calibri"/>
        <family val="2"/>
        <scheme val="minor"/>
      </rPr>
      <t xml:space="preserve"> Total intracity passenger activity / Total population  </t>
    </r>
  </si>
  <si>
    <t>Distance</t>
  </si>
  <si>
    <t>Average annual intracity distance</t>
  </si>
  <si>
    <t>km/prsn/year</t>
  </si>
  <si>
    <t>Load factor: The average number of passengers in one means of transport. Educated guess.</t>
  </si>
  <si>
    <t>Load factors</t>
  </si>
  <si>
    <t>Car gasoline</t>
  </si>
  <si>
    <t>[prsn/Car gasoline]</t>
  </si>
  <si>
    <t>Car diesel</t>
  </si>
  <si>
    <t>[prsn/Car diesel]</t>
  </si>
  <si>
    <t>Car biodiesel</t>
  </si>
  <si>
    <t>[prsn/Car biodiesel]</t>
  </si>
  <si>
    <t>Car el.</t>
  </si>
  <si>
    <t>[prsn/Car el.]</t>
  </si>
  <si>
    <t>Car H2</t>
  </si>
  <si>
    <t>[prsn/Car H2]</t>
  </si>
  <si>
    <t>Bus diesel</t>
  </si>
  <si>
    <t>[prsn/Bus diesel]</t>
  </si>
  <si>
    <t>Bus CNG</t>
  </si>
  <si>
    <t>[prsn/Bus CNG]</t>
  </si>
  <si>
    <t>Bus H2</t>
  </si>
  <si>
    <t>[prsn/Bus H2]</t>
  </si>
  <si>
    <t>Bus el</t>
  </si>
  <si>
    <t>[prsn/Bus el]</t>
  </si>
  <si>
    <t>Metro el.</t>
  </si>
  <si>
    <t>[prsn/Metro el.]</t>
  </si>
  <si>
    <t>Tramway el.</t>
  </si>
  <si>
    <t>[prsn/Tramway el.]</t>
  </si>
  <si>
    <t>[prsn/Train el.]</t>
  </si>
  <si>
    <t>Bicycle &amp; Walking</t>
  </si>
  <si>
    <t>[prsn/Bicycle]</t>
  </si>
  <si>
    <t xml:space="preserve">Modal split* of the intracity passenger transportation </t>
  </si>
  <si>
    <t>A modal share (also called mode split, mode-share, or modal split) is the percentage of travellers using a particular type of transportation or number of trips using said type</t>
  </si>
  <si>
    <t>Intercity/Suburban commuters</t>
  </si>
  <si>
    <r>
      <t>*Average annual distance travelled by each person</t>
    </r>
    <r>
      <rPr>
        <sz val="12"/>
        <color theme="1"/>
        <rFont val="Calibri"/>
        <family val="2"/>
        <scheme val="minor"/>
      </rPr>
      <t xml:space="preserve"> = Total intercity passenger activity / Total population  </t>
    </r>
  </si>
  <si>
    <t>Dist. suburban commuters</t>
  </si>
  <si>
    <r>
      <t>*Average annual of suburban commuters distance travelled by each car</t>
    </r>
    <r>
      <rPr>
        <sz val="12"/>
        <rFont val="Calibri"/>
        <family val="2"/>
        <scheme val="minor"/>
      </rPr>
      <t xml:space="preserve"> = Intercity passenger activity by car / Number of operating cars / Average Load factor </t>
    </r>
  </si>
  <si>
    <t>Factors</t>
  </si>
  <si>
    <t>Car ownership</t>
  </si>
  <si>
    <t>[person/car]</t>
  </si>
  <si>
    <t>Car-kilometers</t>
  </si>
  <si>
    <t>[km/car/yr]</t>
  </si>
  <si>
    <t>Air plane</t>
  </si>
  <si>
    <t>[%occupied]</t>
  </si>
  <si>
    <t>Cars</t>
  </si>
  <si>
    <t>[prsn/car]</t>
  </si>
  <si>
    <t>Bus large- diesel</t>
  </si>
  <si>
    <t>[prsn/Bus large]</t>
  </si>
  <si>
    <t>Bus large - el.</t>
  </si>
  <si>
    <t>Bus large - H2</t>
  </si>
  <si>
    <t>Bus large- biofuel</t>
  </si>
  <si>
    <t>Bus small- diesel</t>
  </si>
  <si>
    <t>[l/100km]</t>
  </si>
  <si>
    <t>Bus small - el.</t>
  </si>
  <si>
    <t>[kWh/100km]</t>
  </si>
  <si>
    <t>Bus small- H2</t>
  </si>
  <si>
    <t>[prsn/Bus small]</t>
  </si>
  <si>
    <t>Bus small- biofuel</t>
  </si>
  <si>
    <t>[prsn/Train diesel]</t>
  </si>
  <si>
    <t>[prsn/Train H2]</t>
  </si>
  <si>
    <t>Modal split* of the  intercity passenger transportation (commuters)</t>
  </si>
  <si>
    <t>Cars el</t>
  </si>
  <si>
    <t>Cars H2</t>
  </si>
  <si>
    <t>Public transport</t>
  </si>
  <si>
    <t>Conversion factors:</t>
  </si>
  <si>
    <t>name:                 = MJ_CFG</t>
  </si>
  <si>
    <t>to --&gt;</t>
  </si>
  <si>
    <t>example: 1MJ</t>
  </si>
  <si>
    <t>CFG</t>
  </si>
  <si>
    <t>from</t>
  </si>
  <si>
    <t>MJ</t>
  </si>
  <si>
    <t>TCE</t>
  </si>
  <si>
    <t>cub m</t>
  </si>
  <si>
    <t>btu</t>
  </si>
  <si>
    <t>toe</t>
  </si>
  <si>
    <t>boe</t>
  </si>
  <si>
    <t>kWh</t>
  </si>
  <si>
    <t>kwyr</t>
  </si>
  <si>
    <t>kcal</t>
  </si>
  <si>
    <t>TJ</t>
  </si>
  <si>
    <t>Gcal</t>
  </si>
  <si>
    <t>Mtoe</t>
  </si>
  <si>
    <t>Mbtu</t>
  </si>
  <si>
    <t>GWh</t>
  </si>
  <si>
    <t>GWyr</t>
  </si>
  <si>
    <t>PJ</t>
  </si>
  <si>
    <t>cubm</t>
  </si>
  <si>
    <t>Carbon emission factors in kgC/GJ</t>
  </si>
  <si>
    <t>Source: IPCC Priner (1995)</t>
  </si>
  <si>
    <t>Avg HHV</t>
  </si>
  <si>
    <t>Avg LHV</t>
  </si>
  <si>
    <t>HHV</t>
  </si>
  <si>
    <t>LHV</t>
  </si>
  <si>
    <t>t C/toe</t>
  </si>
  <si>
    <t>Wood</t>
  </si>
  <si>
    <t>Peat</t>
  </si>
  <si>
    <t>Coal (bituminous)</t>
  </si>
  <si>
    <t>Coal lignite</t>
  </si>
  <si>
    <t>Crude oil</t>
  </si>
  <si>
    <t>Heat content</t>
  </si>
  <si>
    <t>Density</t>
  </si>
  <si>
    <t>MJ/kg</t>
  </si>
  <si>
    <t>kgoe</t>
  </si>
  <si>
    <t>kWh/kg</t>
  </si>
  <si>
    <t>kWh/l</t>
  </si>
  <si>
    <t>diesel</t>
  </si>
  <si>
    <t>kcal/litre =</t>
  </si>
  <si>
    <t>kcal/kg x</t>
  </si>
  <si>
    <t>kg/litre</t>
  </si>
  <si>
    <t>t/TJ</t>
  </si>
  <si>
    <t>gasoline</t>
  </si>
  <si>
    <t>kg/MJ</t>
  </si>
  <si>
    <t>jet fuel</t>
  </si>
  <si>
    <t>kg/kg</t>
  </si>
  <si>
    <t>kerosene</t>
  </si>
  <si>
    <t>kg/l</t>
  </si>
  <si>
    <t xml:space="preserve">NG  </t>
  </si>
  <si>
    <t>LNG</t>
  </si>
  <si>
    <t>liguid at almost 1 atm and -162 C</t>
  </si>
  <si>
    <t>power density (MJ/l) 2.4 times greater than CNG</t>
  </si>
  <si>
    <t>alcohol</t>
  </si>
  <si>
    <t>light fo</t>
  </si>
  <si>
    <t>heavy fo</t>
  </si>
  <si>
    <t>peat (dry)</t>
  </si>
  <si>
    <t>Charcoal</t>
  </si>
  <si>
    <t>Biogas</t>
  </si>
  <si>
    <t>Ethanol</t>
  </si>
  <si>
    <t>Biodiesel</t>
  </si>
  <si>
    <t>Nat. U</t>
  </si>
  <si>
    <t>LWR_U-235</t>
  </si>
  <si>
    <t>Converting LNG to oil/NG equivalent</t>
  </si>
  <si>
    <t>1 kg-LNG</t>
  </si>
  <si>
    <t>1MT-LNG</t>
  </si>
  <si>
    <t>Mboe</t>
  </si>
  <si>
    <t>Bcubm</t>
  </si>
  <si>
    <t>Mcubm/d</t>
  </si>
  <si>
    <t>CC/50%</t>
  </si>
  <si>
    <t>MW</t>
  </si>
  <si>
    <t>0.9 Op</t>
  </si>
  <si>
    <t>elec</t>
  </si>
  <si>
    <t>Outp</t>
  </si>
  <si>
    <t>Mwy</t>
  </si>
  <si>
    <t>NG</t>
  </si>
  <si>
    <t>Inp</t>
  </si>
  <si>
    <t>Gwy</t>
  </si>
  <si>
    <t>Mcubm</t>
  </si>
  <si>
    <t>MTPA-LNG</t>
  </si>
  <si>
    <t>Estimation of local/regional Renewable Energy Potential within the City Boundary</t>
  </si>
  <si>
    <t>It entails:
- Solar potentials for PV of roof top area and façade of residential and non-residential building as well as open area within the city boundary 
- Potentials for solar thermal  of the roof top of residential and non-residential building within the city boundary 
- Wind potential: in selected sites of regional open area (if applicable) and for Microwind turbines on selected building
- Biomass, municipal waste, biogas, geothermal, sewage,…</t>
  </si>
  <si>
    <t>Potential of Solar Energy in the city</t>
  </si>
  <si>
    <t>For Residential Buildings (HH)</t>
  </si>
  <si>
    <t>City/ Municipality 1</t>
  </si>
  <si>
    <t>Comments from the municipality to the data (e.g. providing additional information to the data)</t>
  </si>
  <si>
    <t>Solar Irradiance (GHI) for roof top</t>
  </si>
  <si>
    <t>kWh/sqm/year</t>
  </si>
  <si>
    <t>GHI: Global Horizontal Irradiance</t>
  </si>
  <si>
    <t>Roof Area available for PV</t>
  </si>
  <si>
    <t>million sqm</t>
  </si>
  <si>
    <t>available online for each location</t>
  </si>
  <si>
    <t>Solar Irradiance (GHI) for Walls/Façade</t>
  </si>
  <si>
    <t>https://globalsolaratlas.info/map?c=11.609193,8.4375,3&amp;s=46.679594,3.515625&amp;m=site</t>
  </si>
  <si>
    <t>Walls/Façade Area available for PV</t>
  </si>
  <si>
    <t>PV efficiency</t>
  </si>
  <si>
    <t>Other References</t>
  </si>
  <si>
    <t>Electricity Generation Potential</t>
  </si>
  <si>
    <t>https://www.renewables.ninja/</t>
  </si>
  <si>
    <t>https://re.jrc.ec.europa.eu/pvg_tools/en/</t>
  </si>
  <si>
    <t>Roof Area available for solar thermal collectors</t>
  </si>
  <si>
    <t>Solar Collector efficiency</t>
  </si>
  <si>
    <t>Possible Tools:</t>
  </si>
  <si>
    <t>Solar Thermal Energy Potential</t>
  </si>
  <si>
    <t>https://www.cityenergyanalyst.com/</t>
  </si>
  <si>
    <t>https://meetingorganizer.copernicus.org/EGU21/EGU21-5648.html</t>
  </si>
  <si>
    <t>For Non-Residential Buildings (SS)</t>
  </si>
  <si>
    <t>Open Areas</t>
  </si>
  <si>
    <t>Land Area of city</t>
  </si>
  <si>
    <t>ha</t>
  </si>
  <si>
    <t xml:space="preserve">Usage of city land area </t>
  </si>
  <si>
    <t>share %</t>
  </si>
  <si>
    <t>Built up Area</t>
  </si>
  <si>
    <t xml:space="preserve">Transport infrastructure </t>
  </si>
  <si>
    <t>Open Area in city</t>
  </si>
  <si>
    <t>Share of Open Area of City Vailable for PV</t>
  </si>
  <si>
    <t>Open Area of City Vailable for PV</t>
  </si>
  <si>
    <t>Solar PV Potential</t>
  </si>
  <si>
    <t xml:space="preserve">Solar Irradiance (GHI) </t>
  </si>
  <si>
    <t>References for ..</t>
  </si>
  <si>
    <t>Roof Area available for PV- household sector</t>
  </si>
  <si>
    <t>Walls/Façade Area available for PV- household sector</t>
  </si>
  <si>
    <t>PV efficiency- building sector</t>
  </si>
  <si>
    <t>Roof Area available for solar thermal collectors- household sector</t>
  </si>
  <si>
    <t>Roof Area available for PV- service sector</t>
  </si>
  <si>
    <t>Walls/Façade Area available for PV- service sector</t>
  </si>
  <si>
    <t>Roof Area available for solar thermal collectors- service sector</t>
  </si>
  <si>
    <t>PV efficiency-open areas</t>
  </si>
  <si>
    <t>Potential of Wind Energy, within the city, NUTS3</t>
  </si>
  <si>
    <t>Land Area of the City</t>
  </si>
  <si>
    <t>W/m2</t>
  </si>
  <si>
    <t>Open Area</t>
  </si>
  <si>
    <t xml:space="preserve">MW/ha </t>
  </si>
  <si>
    <t>(ha =10,000 m2)</t>
  </si>
  <si>
    <t xml:space="preserve">Fraction of Open Area available for Wind </t>
  </si>
  <si>
    <t>Open Area available for Wind Installation</t>
  </si>
  <si>
    <t xml:space="preserve">Density of wind generation </t>
  </si>
  <si>
    <t>MW/ha</t>
  </si>
  <si>
    <t xml:space="preserve"> Estimation shows that 1 MW of wind capacity needs in average around 0.28 ha (at 100 m hight) in Austria </t>
  </si>
  <si>
    <t>Total Estimated Capacity of Wind Turbines</t>
  </si>
  <si>
    <t xml:space="preserve">see global wind atlas for other county for other countries </t>
  </si>
  <si>
    <t>https://globalwindatlas.info/en</t>
  </si>
  <si>
    <t>Average Capacity Factor</t>
  </si>
  <si>
    <t>Electricity Generation</t>
  </si>
  <si>
    <t xml:space="preserve">Buildwind, Micro Wind turbines </t>
  </si>
  <si>
    <t xml:space="preserve">Builwind + BOKU +AIT meeting on 28 April 2023 </t>
  </si>
  <si>
    <t>Estimated Annual Potential of Other Renewable Energy Sources</t>
  </si>
  <si>
    <t>Biomass</t>
  </si>
  <si>
    <t>Municipal waste</t>
  </si>
  <si>
    <t xml:space="preserve">Note: in case no information are available about the energy content, please just give your estimation for the annual municipal amount (in ton). </t>
  </si>
  <si>
    <t>Geothermal</t>
  </si>
  <si>
    <t>Others (e.g., sewage)</t>
  </si>
  <si>
    <t xml:space="preserve">Total </t>
  </si>
  <si>
    <t>Energy source- biomass</t>
  </si>
  <si>
    <t>Energy source- municipal waste</t>
  </si>
  <si>
    <t>Energy source- biogas</t>
  </si>
  <si>
    <t>Energy source- geothermal energy</t>
  </si>
  <si>
    <t>Energy source- others (e.g. sewage)</t>
  </si>
  <si>
    <t>Energy balance 2018 (Final energy demand)- Traiskirchen</t>
  </si>
  <si>
    <t>Fossil energy carrier</t>
  </si>
  <si>
    <t>Sectors</t>
  </si>
  <si>
    <t xml:space="preserve">Diesel </t>
  </si>
  <si>
    <t xml:space="preserve">                     Combustible waste</t>
  </si>
  <si>
    <t>Total- fossil</t>
  </si>
  <si>
    <t>Solar thermal system</t>
  </si>
  <si>
    <t>Total- commercial</t>
  </si>
  <si>
    <t>Biofuel as motor fuel (e.g. Biodiesel)</t>
  </si>
  <si>
    <t>Summe</t>
  </si>
  <si>
    <t>Industry (total)</t>
  </si>
  <si>
    <t>Mobility- Freight transport</t>
  </si>
  <si>
    <t>Mobility- Urban passenger transport</t>
  </si>
  <si>
    <t>Mobility- Suburban commuters</t>
  </si>
  <si>
    <t>Share of the total final energy demand</t>
  </si>
  <si>
    <t>Fossil motor fuel</t>
  </si>
  <si>
    <t>Total biogenic energy sources (solid, liquid, gaseous)</t>
  </si>
  <si>
    <t>Electricity (incl. heat pump)</t>
  </si>
  <si>
    <t>Renewable energy carrier</t>
  </si>
  <si>
    <t>kWyr</t>
  </si>
  <si>
    <t>ktoe</t>
  </si>
  <si>
    <t>Source: https://www.gov.uk/government/statistics/energy-chapter-1-digest-of-united-kingdom-energy-statistics-dukes</t>
  </si>
  <si>
    <t>Aggregate energy balance 2016</t>
  </si>
  <si>
    <t>https://www.nomisweb.co.uk/reports/lmp/la/1946157348/report.aspx?#ld</t>
  </si>
  <si>
    <t>Gross calorific values</t>
  </si>
  <si>
    <t>Thousand tonnes of oil equivalent</t>
  </si>
  <si>
    <r>
      <t>Manufactured fuel</t>
    </r>
    <r>
      <rPr>
        <i/>
        <sz val="8.5"/>
        <rFont val="Arial"/>
        <family val="2"/>
      </rPr>
      <t>(1)</t>
    </r>
  </si>
  <si>
    <t>Primary oils</t>
  </si>
  <si>
    <t>Petroleum products</t>
  </si>
  <si>
    <r>
      <t>Natural gas</t>
    </r>
    <r>
      <rPr>
        <i/>
        <sz val="8.5"/>
        <rFont val="Arial"/>
        <family val="2"/>
      </rPr>
      <t>(2)</t>
    </r>
  </si>
  <si>
    <r>
      <t>Bioenergy &amp; waste</t>
    </r>
    <r>
      <rPr>
        <i/>
        <sz val="8.5"/>
        <rFont val="Arial"/>
        <family val="2"/>
      </rPr>
      <t>(3)</t>
    </r>
  </si>
  <si>
    <t>Primary electricity</t>
  </si>
  <si>
    <t>Heat sold</t>
  </si>
  <si>
    <t>Employee jobs (2019)</t>
  </si>
  <si>
    <t xml:space="preserve">Supply </t>
  </si>
  <si>
    <t>Bristol, City Of</t>
  </si>
  <si>
    <t>South West</t>
  </si>
  <si>
    <t>Great Britain</t>
  </si>
  <si>
    <t>GB</t>
  </si>
  <si>
    <t>Production</t>
  </si>
  <si>
    <t>(Employee Jobs)</t>
  </si>
  <si>
    <t>(%)</t>
  </si>
  <si>
    <t>Imports</t>
  </si>
  <si>
    <t>Total Employee Jobs</t>
  </si>
  <si>
    <t>-</t>
  </si>
  <si>
    <t>Source:</t>
  </si>
  <si>
    <t>https://www.ons.gov.uk/employmentandlabourmarket/peopleinwork/employmentandemployeetypes/timeseries/mgrz/lms</t>
  </si>
  <si>
    <t>Exports</t>
  </si>
  <si>
    <t>Full-Time</t>
  </si>
  <si>
    <t>Marine bunkers</t>
  </si>
  <si>
    <t>Part-Time</t>
  </si>
  <si>
    <r>
      <t>Stock change</t>
    </r>
    <r>
      <rPr>
        <i/>
        <sz val="8"/>
        <rFont val="Arial"/>
        <family val="2"/>
      </rPr>
      <t>(4)</t>
    </r>
  </si>
  <si>
    <t>Employee Jobs By Industry</t>
  </si>
  <si>
    <t>Bristol vs GB</t>
  </si>
  <si>
    <t>Primary supply</t>
  </si>
  <si>
    <t>B : Mining And Quarrying</t>
  </si>
  <si>
    <r>
      <t>Statistical difference</t>
    </r>
    <r>
      <rPr>
        <i/>
        <sz val="8.5"/>
        <rFont val="Arial"/>
        <family val="2"/>
      </rPr>
      <t>(5)</t>
    </r>
  </si>
  <si>
    <t>C : Manufacturing</t>
  </si>
  <si>
    <t>Primary demand</t>
  </si>
  <si>
    <t>D : Electricity, Gas, Steam And Air Conditioning Supply</t>
  </si>
  <si>
    <t>E : Water Supply; Sewerage, Waste Management And Remediation Activities</t>
  </si>
  <si>
    <t>Transfers</t>
  </si>
  <si>
    <t>F : Construction</t>
  </si>
  <si>
    <t>Transformation</t>
  </si>
  <si>
    <t>G : Wholesale And Retail Trade; Repair Of Motor Vehicles And Motorcycles</t>
  </si>
  <si>
    <t>Electricity generation</t>
  </si>
  <si>
    <t>H : Transportation And Storage</t>
  </si>
  <si>
    <t xml:space="preserve">   Major power producers</t>
  </si>
  <si>
    <t>I : Accommodation And Food Service Activities</t>
  </si>
  <si>
    <t xml:space="preserve">   Autogenerators</t>
  </si>
  <si>
    <t>J : Information And Communication</t>
  </si>
  <si>
    <t>Heat generation</t>
  </si>
  <si>
    <t>K : Financial And Insurance Activities</t>
  </si>
  <si>
    <t>Petroleum refineries</t>
  </si>
  <si>
    <t>L : Real Estate Activities</t>
  </si>
  <si>
    <t>Coke manufacture</t>
  </si>
  <si>
    <t>M : Professional, Scientific And Technical Activities</t>
  </si>
  <si>
    <t>Blast furnaces</t>
  </si>
  <si>
    <t>N : Administrative And Support Service Activities</t>
  </si>
  <si>
    <t>Patent fuel manufacture</t>
  </si>
  <si>
    <t>O : Public Administration And Defence; Compulsory Social Security</t>
  </si>
  <si>
    <t>Other(7)</t>
  </si>
  <si>
    <t>P : Education</t>
  </si>
  <si>
    <t>Energy industry use</t>
  </si>
  <si>
    <t>Q : Human Health And Social Work Activities</t>
  </si>
  <si>
    <t>R : Arts, Entertainment And Recreation</t>
  </si>
  <si>
    <t>Oil and gas extraction</t>
  </si>
  <si>
    <t>S : Other Service Activities</t>
  </si>
  <si>
    <t>Coal extraction</t>
  </si>
  <si>
    <t>Unit: Thousand tonnes of oil equivalent</t>
  </si>
  <si>
    <t>Final Fossil</t>
  </si>
  <si>
    <t>Economic Sector</t>
  </si>
  <si>
    <t xml:space="preserve">Fossil   thermal </t>
  </si>
  <si>
    <t>Motor Fuels</t>
  </si>
  <si>
    <t>Total Fossil</t>
  </si>
  <si>
    <t>Centralized Heat Supply</t>
  </si>
  <si>
    <t>Renewable thermal use (solar, HP)</t>
  </si>
  <si>
    <t>Total Commer- cial</t>
  </si>
  <si>
    <t>Traditional  Fuels</t>
  </si>
  <si>
    <t>Modern Biomass</t>
  </si>
  <si>
    <t>Pumped storage</t>
  </si>
  <si>
    <t>Other</t>
  </si>
  <si>
    <t>Losses</t>
  </si>
  <si>
    <t>Final consumption</t>
  </si>
  <si>
    <t>Transportation</t>
  </si>
  <si>
    <t>Industry</t>
  </si>
  <si>
    <t>Unclassified</t>
  </si>
  <si>
    <t>Services</t>
  </si>
  <si>
    <t>Iron and steel</t>
  </si>
  <si>
    <t>Non-ferrous metals</t>
  </si>
  <si>
    <t>Mineral products</t>
  </si>
  <si>
    <t>Bristol Employees vs GB employees</t>
  </si>
  <si>
    <t>Chemicals</t>
  </si>
  <si>
    <t>Mechanical engineering etc</t>
  </si>
  <si>
    <t>Electrical engineering etc</t>
  </si>
  <si>
    <t>Vehicles</t>
  </si>
  <si>
    <t>Food, beverages etc</t>
  </si>
  <si>
    <t>Textiles, leather etc</t>
  </si>
  <si>
    <t>Paper, printing etc</t>
  </si>
  <si>
    <t>Other industries</t>
  </si>
  <si>
    <r>
      <t xml:space="preserve">Transport </t>
    </r>
    <r>
      <rPr>
        <i/>
        <sz val="8.5"/>
        <rFont val="Arial"/>
        <family val="2"/>
      </rPr>
      <t>(6)</t>
    </r>
  </si>
  <si>
    <t>Air</t>
  </si>
  <si>
    <t>Rail</t>
  </si>
  <si>
    <t>Road</t>
  </si>
  <si>
    <t>National navigation</t>
  </si>
  <si>
    <t>Pipelines</t>
  </si>
  <si>
    <t>Domestic</t>
  </si>
  <si>
    <t>Public administration</t>
  </si>
  <si>
    <t>Commercial</t>
  </si>
  <si>
    <t>1000 tons of oil equivalent = 11.6300000000 gigawatt hours</t>
  </si>
  <si>
    <t>Non energy use</t>
  </si>
  <si>
    <t>(1)  Includes all manufactured solid fuels, benzole, tars, coke oven gas and blast furnace gas.</t>
  </si>
  <si>
    <t>Unit: GWh</t>
  </si>
  <si>
    <t>(2)  Includes colliery methane.</t>
  </si>
  <si>
    <t>(3)  Includes geothermal, solar heat, and heat pumps.</t>
  </si>
  <si>
    <t>(4)  Stock fall (+), stock rise (-).</t>
  </si>
  <si>
    <t>(5)  Primary supply minus primary demand.</t>
  </si>
  <si>
    <t>(6)  See paragraphs 5.21 regarding electricity use in transport and 6.44-6.49 regarding renewables use in transport.</t>
  </si>
  <si>
    <t>(7)  Back-flows from the petrochemical industry.</t>
  </si>
  <si>
    <t>https://www.gov.uk/government/statistical-data-sets/total-final-energy-consumption-at-regional-and-local-authority-level</t>
  </si>
  <si>
    <t>Total sub-national final energy consumption, 2016</t>
  </si>
  <si>
    <t>Gigawatt Hours (GWh)</t>
  </si>
  <si>
    <r>
      <t xml:space="preserve">Coal </t>
    </r>
    <r>
      <rPr>
        <b/>
        <vertAlign val="superscript"/>
        <sz val="10"/>
        <color indexed="9"/>
        <rFont val="Arial"/>
        <family val="2"/>
      </rPr>
      <t>(2)</t>
    </r>
  </si>
  <si>
    <r>
      <t xml:space="preserve">Manufactured fuels </t>
    </r>
    <r>
      <rPr>
        <b/>
        <vertAlign val="superscript"/>
        <sz val="10"/>
        <color indexed="9"/>
        <rFont val="Arial"/>
        <family val="2"/>
      </rPr>
      <t>(3)</t>
    </r>
  </si>
  <si>
    <r>
      <t xml:space="preserve">Petroleum products </t>
    </r>
    <r>
      <rPr>
        <b/>
        <vertAlign val="superscript"/>
        <sz val="10"/>
        <color indexed="9"/>
        <rFont val="Arial"/>
        <family val="2"/>
      </rPr>
      <t>(2)</t>
    </r>
  </si>
  <si>
    <t>Gas</t>
  </si>
  <si>
    <t>Bioenergy &amp; wastes</t>
  </si>
  <si>
    <t>All fuels</t>
  </si>
  <si>
    <r>
      <t xml:space="preserve">Consuming Sector </t>
    </r>
    <r>
      <rPr>
        <b/>
        <vertAlign val="superscript"/>
        <sz val="10"/>
        <color indexed="9"/>
        <rFont val="Arial"/>
        <family val="2"/>
      </rPr>
      <t>(4)</t>
    </r>
  </si>
  <si>
    <t>LA Code</t>
  </si>
  <si>
    <t xml:space="preserve">Government Office Regions and LAU1 Areas </t>
  </si>
  <si>
    <t>Industrial &amp; Commercial</t>
  </si>
  <si>
    <t>Industrial</t>
  </si>
  <si>
    <t>Road transport</t>
  </si>
  <si>
    <t>Public Sector</t>
  </si>
  <si>
    <t>Industry &amp; Commercial</t>
  </si>
  <si>
    <t>Transport</t>
  </si>
  <si>
    <t>E06000023</t>
  </si>
  <si>
    <t>Bristol, City of</t>
  </si>
  <si>
    <t>National Prorata:</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</si>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</sst>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 #,##0.00_-;_-* &quot;-&quot;??_-;_-@_-"/>
    <numFmt numFmtId="165" formatCode="_-* #,##0.00_р_._-;\-* #,##0.00_р_._-;_-* &quot;-&quot;??_р_._-;_-@_-"/>
    <numFmt numFmtId="166" formatCode="0.000"/>
    <numFmt numFmtId="167" formatCode="0.0"/>
    <numFmt numFmtId="168" formatCode="_-* #,##0.0_-;\-* #,##0.0_-;_-* &quot;-&quot;??_-;_-@_-"/>
    <numFmt numFmtId="169" formatCode="0.0000"/>
    <numFmt numFmtId="170" formatCode="0.0%"/>
    <numFmt numFmtId="171" formatCode="[&gt;0.5]#,##0;[&lt;-0.5]&quot;-&quot;#,##0;&quot;-&quot;"/>
    <numFmt numFmtId="172" formatCode="[&gt;0.5]#,##0;[&lt;0]&quot;-&quot;#,##0;&quot;-&quot;"/>
    <numFmt numFmtId="173" formatCode="&quot; &quot;#,##0.00&quot; &quot;;&quot;-&quot;#,##0.00&quot; &quot;;&quot;-&quot;00&quot; &quot;;&quot; &quot;@&quot; &quot;"/>
    <numFmt numFmtId="174" formatCode="#,##0\ ;\-#,##0\ ;&quot; &quot;"/>
    <numFmt numFmtId="175" formatCode="#,##0\ ;\-#,##0\ ;&quot;-  &quot;"/>
    <numFmt numFmtId="176" formatCode="#,##0;\-#,##0;\-"/>
    <numFmt numFmtId="177" formatCode="#,##0\r;\-#,##0\r;\-\r"/>
    <numFmt numFmtId="178" formatCode="\+#,##0\ ;\-#,##0\ ;&quot; &quot;"/>
    <numFmt numFmtId="179" formatCode="_-* #,##0.0000_-;\-* #,##0.0000_-;_-* &quot;-&quot;??_-;_-@_-"/>
    <numFmt numFmtId="180" formatCode="0.00000"/>
    <numFmt numFmtId="181" formatCode="0.000000"/>
    <numFmt numFmtId="182" formatCode="_-* #,##0_-;\-* #,##0_-;_-* &quot;-&quot;??_-;_-@_-"/>
  </numFmts>
  <fonts count="148">
    <font>
      <sz val="11"/>
      <color theme="1"/>
      <name val="Calibri"/>
      <family val="2"/>
      <scheme val="minor"/>
    </font>
    <font>
      <sz val="10"/>
      <color theme="1"/>
      <name val="Arial"/>
      <family val="2"/>
    </font>
    <font>
      <sz val="10"/>
      <name val="Arial"/>
      <family val="2"/>
    </font>
    <font>
      <sz val="11"/>
      <name val="Arial"/>
      <family val="2"/>
    </font>
    <font>
      <b/>
      <sz val="10"/>
      <color theme="1"/>
      <name val="Arial"/>
      <family val="2"/>
    </font>
    <font>
      <b/>
      <sz val="14"/>
      <color rgb="FF0070C0"/>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name val="Arial"/>
      <family val="2"/>
    </font>
    <font>
      <u/>
      <sz val="10"/>
      <color theme="10"/>
      <name val="Arial"/>
      <family val="2"/>
    </font>
    <font>
      <sz val="10"/>
      <name val="PragmaticaCTT"/>
      <charset val="204"/>
    </font>
    <font>
      <sz val="10"/>
      <color theme="0"/>
      <name val="Arial"/>
      <family val="2"/>
    </font>
    <font>
      <b/>
      <sz val="10"/>
      <color theme="0"/>
      <name val="Arial"/>
      <family val="2"/>
    </font>
    <font>
      <sz val="9"/>
      <color theme="1"/>
      <name val="Arial"/>
      <family val="2"/>
    </font>
    <font>
      <sz val="9"/>
      <name val="Arial"/>
      <family val="2"/>
    </font>
    <font>
      <b/>
      <sz val="9"/>
      <name val="Arial"/>
      <family val="2"/>
    </font>
    <font>
      <b/>
      <sz val="8"/>
      <name val="Arial"/>
      <family val="2"/>
    </font>
    <font>
      <sz val="11"/>
      <color rgb="FFFF0000"/>
      <name val="Calibri"/>
      <family val="2"/>
      <scheme val="minor"/>
    </font>
    <font>
      <b/>
      <sz val="11"/>
      <color theme="1"/>
      <name val="Calibri"/>
      <family val="2"/>
      <scheme val="minor"/>
    </font>
    <font>
      <sz val="11"/>
      <color rgb="FF0070C0"/>
      <name val="Calibri"/>
      <family val="2"/>
      <scheme val="minor"/>
    </font>
    <font>
      <b/>
      <sz val="11"/>
      <name val="Arial"/>
      <family val="2"/>
    </font>
    <font>
      <b/>
      <u/>
      <sz val="8"/>
      <name val="Arial"/>
      <family val="2"/>
    </font>
    <font>
      <sz val="8"/>
      <name val="Arial"/>
      <family val="2"/>
    </font>
    <font>
      <u/>
      <sz val="9"/>
      <color indexed="10"/>
      <name val="Arial"/>
      <family val="2"/>
    </font>
    <font>
      <sz val="10"/>
      <name val="MS Sans Serif"/>
      <family val="2"/>
    </font>
    <font>
      <b/>
      <u/>
      <sz val="10"/>
      <name val="Arial"/>
      <family val="2"/>
    </font>
    <font>
      <sz val="10"/>
      <color rgb="FF0070C0"/>
      <name val="Arial"/>
      <family val="2"/>
    </font>
    <font>
      <b/>
      <sz val="9"/>
      <color indexed="81"/>
      <name val="Segoe UI"/>
      <family val="2"/>
    </font>
    <font>
      <sz val="9"/>
      <color indexed="81"/>
      <name val="Segoe UI"/>
      <family val="2"/>
    </font>
    <font>
      <sz val="10"/>
      <color rgb="FF000000"/>
      <name val="Arial"/>
      <family val="2"/>
    </font>
    <font>
      <sz val="14"/>
      <color rgb="FF000000"/>
      <name val="Arial"/>
      <family val="2"/>
    </font>
    <font>
      <u/>
      <sz val="12"/>
      <color rgb="FF008080"/>
      <name val="Arial"/>
      <family val="2"/>
    </font>
    <font>
      <sz val="10"/>
      <color rgb="FF000000"/>
      <name val="Times New Roman"/>
      <family val="1"/>
    </font>
    <font>
      <sz val="10"/>
      <color rgb="FFFF0000"/>
      <name val="Arial"/>
      <family val="2"/>
    </font>
    <font>
      <sz val="10"/>
      <color rgb="FF000000"/>
      <name val="Arial1"/>
    </font>
    <font>
      <sz val="14"/>
      <color rgb="FF000000"/>
      <name val="Arial1"/>
    </font>
    <font>
      <u/>
      <sz val="10"/>
      <color rgb="FF0000FF"/>
      <name val="Arial1"/>
    </font>
    <font>
      <i/>
      <sz val="12"/>
      <color rgb="FF000000"/>
      <name val="Times New Roman"/>
      <family val="1"/>
    </font>
    <font>
      <b/>
      <sz val="18"/>
      <color indexed="12"/>
      <name val="Arial"/>
      <family val="2"/>
    </font>
    <font>
      <sz val="18"/>
      <color indexed="12"/>
      <name val="Arial"/>
      <family val="2"/>
    </font>
    <font>
      <sz val="20"/>
      <color indexed="12"/>
      <name val="Arial"/>
      <family val="2"/>
    </font>
    <font>
      <sz val="20"/>
      <name val="Arial"/>
      <family val="2"/>
    </font>
    <font>
      <b/>
      <sz val="8.5"/>
      <name val="Arial"/>
      <family val="2"/>
    </font>
    <font>
      <i/>
      <sz val="8.5"/>
      <name val="Arial"/>
      <family val="2"/>
    </font>
    <font>
      <sz val="7"/>
      <name val="Arial"/>
      <family val="2"/>
    </font>
    <font>
      <b/>
      <sz val="8"/>
      <color rgb="FF545252"/>
      <name val="Arial"/>
      <family val="2"/>
    </font>
    <font>
      <sz val="7.5"/>
      <name val="Arial"/>
      <family val="2"/>
    </font>
    <font>
      <b/>
      <sz val="8"/>
      <color rgb="FF333333"/>
      <name val="Arial"/>
      <family val="2"/>
    </font>
    <font>
      <sz val="8"/>
      <color rgb="FF333333"/>
      <name val="Arial"/>
      <family val="2"/>
    </font>
    <font>
      <u/>
      <sz val="10"/>
      <color indexed="12"/>
      <name val="Arial"/>
      <family val="2"/>
    </font>
    <font>
      <i/>
      <sz val="8"/>
      <name val="Arial"/>
      <family val="2"/>
    </font>
    <font>
      <sz val="7.5"/>
      <color indexed="10"/>
      <name val="Arial"/>
      <family val="2"/>
    </font>
    <font>
      <b/>
      <sz val="9"/>
      <color theme="0"/>
      <name val="PragmaticaCTT"/>
      <charset val="204"/>
    </font>
    <font>
      <b/>
      <sz val="9"/>
      <color theme="0"/>
      <name val="PragmaticaCTT"/>
    </font>
    <font>
      <b/>
      <i/>
      <sz val="9"/>
      <color theme="0"/>
      <name val="PragmaticaCTT"/>
    </font>
    <font>
      <b/>
      <sz val="9"/>
      <name val="PragmaticaCTT"/>
      <charset val="204"/>
    </font>
    <font>
      <b/>
      <sz val="9"/>
      <name val="Arial"/>
      <family val="2"/>
      <charset val="204"/>
    </font>
    <font>
      <sz val="9"/>
      <color rgb="FF747474"/>
      <name val="Calibri"/>
      <family val="2"/>
      <scheme val="minor"/>
    </font>
    <font>
      <b/>
      <sz val="7.5"/>
      <name val="Arial"/>
      <family val="2"/>
    </font>
    <font>
      <i/>
      <sz val="8"/>
      <color rgb="FFFF0000"/>
      <name val="Arial"/>
      <family val="2"/>
    </font>
    <font>
      <sz val="8"/>
      <color rgb="FFFF0000"/>
      <name val="Arial"/>
      <family val="2"/>
    </font>
    <font>
      <b/>
      <sz val="10"/>
      <color indexed="9"/>
      <name val="Arial"/>
      <family val="2"/>
    </font>
    <font>
      <b/>
      <sz val="10"/>
      <color rgb="FFFF0000"/>
      <name val="Arial"/>
      <family val="2"/>
    </font>
    <font>
      <b/>
      <vertAlign val="superscript"/>
      <sz val="10"/>
      <color indexed="9"/>
      <name val="Arial"/>
      <family val="2"/>
    </font>
    <font>
      <sz val="8"/>
      <name val="Calibri"/>
      <family val="2"/>
      <scheme val="minor"/>
    </font>
    <font>
      <i/>
      <sz val="11"/>
      <color rgb="FF0070C0"/>
      <name val="Calibri"/>
      <family val="2"/>
      <scheme val="minor"/>
    </font>
    <font>
      <b/>
      <sz val="14"/>
      <color rgb="FF00B050"/>
      <name val="Calibri"/>
      <family val="2"/>
      <scheme val="minor"/>
    </font>
    <font>
      <b/>
      <sz val="9"/>
      <color rgb="FF000000"/>
      <name val="PragmaticaCTT"/>
    </font>
    <font>
      <b/>
      <i/>
      <sz val="9"/>
      <color rgb="FF000000"/>
      <name val="PragmaticaCTT"/>
    </font>
    <font>
      <sz val="9"/>
      <color rgb="FF00B050"/>
      <name val="Arial"/>
      <family val="2"/>
    </font>
    <font>
      <b/>
      <sz val="9"/>
      <color rgb="FF00B050"/>
      <name val="Arial"/>
      <family val="2"/>
    </font>
    <font>
      <i/>
      <sz val="11"/>
      <color rgb="FF0070C0"/>
      <name val="Arial"/>
      <family val="2"/>
    </font>
    <font>
      <b/>
      <u/>
      <sz val="11"/>
      <color theme="1"/>
      <name val="Calibri"/>
      <family val="2"/>
      <scheme val="minor"/>
    </font>
    <font>
      <sz val="11"/>
      <name val="Calibri"/>
      <family val="2"/>
      <scheme val="minor"/>
    </font>
    <font>
      <sz val="11"/>
      <color theme="0"/>
      <name val="Calibri"/>
      <family val="2"/>
      <scheme val="minor"/>
    </font>
    <font>
      <b/>
      <sz val="12"/>
      <color theme="0"/>
      <name val="Calibri"/>
      <family val="2"/>
      <scheme val="minor"/>
    </font>
    <font>
      <b/>
      <sz val="12"/>
      <color theme="1"/>
      <name val="Calibri"/>
      <family val="2"/>
      <scheme val="minor"/>
    </font>
    <font>
      <sz val="9"/>
      <color indexed="81"/>
      <name val="Tahoma"/>
      <family val="2"/>
    </font>
    <font>
      <b/>
      <sz val="9"/>
      <color indexed="81"/>
      <name val="Tahoma"/>
      <family val="2"/>
    </font>
    <font>
      <u/>
      <sz val="9"/>
      <color rgb="FF7030A0"/>
      <name val="Arial"/>
      <family val="2"/>
    </font>
    <font>
      <u/>
      <sz val="9"/>
      <color rgb="FFFF0000"/>
      <name val="Arial"/>
      <family val="2"/>
    </font>
    <font>
      <sz val="12"/>
      <color rgb="FF0000FF"/>
      <name val="Arial"/>
      <family val="2"/>
    </font>
    <font>
      <sz val="11"/>
      <color rgb="FF252525"/>
      <name val="Arial"/>
      <family val="2"/>
    </font>
    <font>
      <b/>
      <sz val="10"/>
      <color theme="8"/>
      <name val="Arial"/>
      <family val="2"/>
    </font>
    <font>
      <b/>
      <sz val="10"/>
      <color theme="9" tint="-0.249977111117893"/>
      <name val="Arial"/>
      <family val="2"/>
    </font>
    <font>
      <sz val="10"/>
      <color rgb="FF0000FF"/>
      <name val="Arial"/>
      <family val="2"/>
    </font>
    <font>
      <b/>
      <sz val="11"/>
      <color rgb="FF7030A0"/>
      <name val="Arial"/>
      <family val="2"/>
    </font>
    <font>
      <sz val="12"/>
      <name val="Calibri"/>
      <family val="2"/>
      <scheme val="minor"/>
    </font>
    <font>
      <sz val="14"/>
      <name val="Calibri"/>
      <family val="2"/>
      <scheme val="minor"/>
    </font>
    <font>
      <u/>
      <sz val="11"/>
      <color theme="0" tint="-0.499984740745262"/>
      <name val="Calibri"/>
      <family val="2"/>
      <scheme val="minor"/>
    </font>
    <font>
      <sz val="11"/>
      <color theme="0" tint="-0.499984740745262"/>
      <name val="Calibri"/>
      <family val="2"/>
      <scheme val="minor"/>
    </font>
    <font>
      <b/>
      <sz val="11"/>
      <color theme="0"/>
      <name val="Calibri"/>
      <family val="2"/>
      <scheme val="minor"/>
    </font>
    <font>
      <b/>
      <sz val="20"/>
      <color theme="1"/>
      <name val="Calibri"/>
      <family val="2"/>
      <scheme val="minor"/>
    </font>
    <font>
      <sz val="10"/>
      <name val="Calibri"/>
      <family val="2"/>
      <scheme val="minor"/>
    </font>
    <font>
      <b/>
      <sz val="11"/>
      <name val="Calibri"/>
      <family val="2"/>
      <scheme val="minor"/>
    </font>
    <font>
      <b/>
      <i/>
      <sz val="14"/>
      <color theme="1"/>
      <name val="Calibri"/>
      <family val="2"/>
      <scheme val="minor"/>
    </font>
    <font>
      <u/>
      <sz val="11"/>
      <color theme="1"/>
      <name val="Calibri"/>
      <family val="2"/>
      <scheme val="minor"/>
    </font>
    <font>
      <i/>
      <sz val="14"/>
      <color theme="1"/>
      <name val="Calibri"/>
      <family val="2"/>
      <scheme val="minor"/>
    </font>
    <font>
      <i/>
      <sz val="14"/>
      <color theme="0" tint="-0.499984740745262"/>
      <name val="Calibri"/>
      <family val="2"/>
      <scheme val="minor"/>
    </font>
    <font>
      <b/>
      <sz val="12"/>
      <name val="Calibri"/>
      <family val="2"/>
      <scheme val="minor"/>
    </font>
    <font>
      <b/>
      <sz val="20"/>
      <name val="Calibri"/>
      <family val="2"/>
      <scheme val="minor"/>
    </font>
    <font>
      <sz val="20"/>
      <name val="Calibri"/>
      <family val="2"/>
      <scheme val="minor"/>
    </font>
    <font>
      <b/>
      <sz val="11"/>
      <color theme="0" tint="-0.499984740745262"/>
      <name val="Calibri"/>
      <family val="2"/>
      <scheme val="minor"/>
    </font>
    <font>
      <b/>
      <sz val="20"/>
      <color theme="0" tint="-0.499984740745262"/>
      <name val="Calibri"/>
      <family val="2"/>
      <scheme val="minor"/>
    </font>
    <font>
      <b/>
      <sz val="14"/>
      <color theme="1"/>
      <name val="Calibri"/>
      <family val="2"/>
      <scheme val="minor"/>
    </font>
    <font>
      <b/>
      <sz val="14"/>
      <name val="Calibri"/>
      <family val="2"/>
      <scheme val="minor"/>
    </font>
    <font>
      <i/>
      <sz val="10"/>
      <name val="Calibri"/>
      <family val="2"/>
      <scheme val="minor"/>
    </font>
    <font>
      <i/>
      <sz val="11"/>
      <color theme="1"/>
      <name val="Calibri"/>
      <family val="2"/>
      <scheme val="minor"/>
    </font>
    <font>
      <b/>
      <sz val="16"/>
      <name val="Calibri"/>
      <family val="2"/>
      <scheme val="minor"/>
    </font>
    <font>
      <sz val="16"/>
      <color theme="0" tint="-0.499984740745262"/>
      <name val="Calibri"/>
      <family val="2"/>
      <scheme val="minor"/>
    </font>
    <font>
      <i/>
      <sz val="10"/>
      <color theme="1"/>
      <name val="Calibri"/>
      <family val="2"/>
      <scheme val="minor"/>
    </font>
    <font>
      <b/>
      <sz val="18"/>
      <color theme="1"/>
      <name val="Calibri"/>
      <family val="2"/>
      <scheme val="minor"/>
    </font>
    <font>
      <b/>
      <sz val="20"/>
      <color theme="6"/>
      <name val="Calibri"/>
      <family val="2"/>
      <scheme val="minor"/>
    </font>
    <font>
      <sz val="20"/>
      <color theme="6"/>
      <name val="Calibri"/>
      <family val="2"/>
      <scheme val="minor"/>
    </font>
    <font>
      <sz val="11"/>
      <color theme="6"/>
      <name val="Calibri"/>
      <family val="2"/>
      <scheme val="minor"/>
    </font>
    <font>
      <sz val="11"/>
      <color rgb="FF00B050"/>
      <name val="Calibri"/>
      <family val="2"/>
      <scheme val="minor"/>
    </font>
    <font>
      <sz val="11"/>
      <color rgb="FF7030A0"/>
      <name val="Calibri"/>
      <family val="2"/>
      <scheme val="minor"/>
    </font>
    <font>
      <b/>
      <sz val="16"/>
      <color theme="0"/>
      <name val="Calibri"/>
      <family val="2"/>
      <scheme val="minor"/>
    </font>
    <font>
      <b/>
      <sz val="18"/>
      <color theme="0"/>
      <name val="Calibri"/>
      <family val="2"/>
      <scheme val="minor"/>
    </font>
    <font>
      <b/>
      <sz val="24"/>
      <name val="Calibri"/>
      <family val="2"/>
      <scheme val="minor"/>
    </font>
    <font>
      <sz val="18"/>
      <name val="Calibri"/>
      <family val="2"/>
      <scheme val="minor"/>
    </font>
    <font>
      <sz val="16"/>
      <name val="Calibri"/>
      <family val="2"/>
      <scheme val="minor"/>
    </font>
    <font>
      <b/>
      <sz val="14"/>
      <color theme="0"/>
      <name val="Calibri"/>
      <family val="2"/>
      <scheme val="minor"/>
    </font>
    <font>
      <b/>
      <sz val="18"/>
      <color theme="0" tint="-4.9989318521683403E-2"/>
      <name val="Calibri"/>
      <family val="2"/>
      <scheme val="minor"/>
    </font>
    <font>
      <b/>
      <sz val="18"/>
      <color rgb="FF00B0F0"/>
      <name val="Arial"/>
      <family val="2"/>
    </font>
    <font>
      <b/>
      <sz val="24"/>
      <color rgb="FF0070C0"/>
      <name val="PragmaticaCTT"/>
      <charset val="204"/>
    </font>
    <font>
      <b/>
      <sz val="10"/>
      <color indexed="12"/>
      <name val="PragmaticaCTT"/>
      <charset val="204"/>
    </font>
    <font>
      <b/>
      <sz val="14"/>
      <color rgb="FF00B0F0"/>
      <name val="PragmaticaCTT"/>
      <charset val="204"/>
    </font>
    <font>
      <sz val="10"/>
      <color theme="0"/>
      <name val="PragmaticaCTT"/>
      <charset val="204"/>
    </font>
    <font>
      <b/>
      <sz val="16"/>
      <color theme="0" tint="-0.499984740745262"/>
      <name val="PragmaticaCTT"/>
      <charset val="204"/>
    </font>
    <font>
      <b/>
      <sz val="14"/>
      <color rgb="FF00B050"/>
      <name val="PragmaticaCTT"/>
      <charset val="204"/>
    </font>
    <font>
      <sz val="12"/>
      <color theme="0"/>
      <name val="PragmaticaCTT"/>
    </font>
    <font>
      <b/>
      <sz val="12"/>
      <color theme="0"/>
      <name val="PragmaticaCTT"/>
    </font>
    <font>
      <sz val="9.9"/>
      <color theme="0"/>
      <name val="Times New Roman"/>
      <family val="1"/>
    </font>
    <font>
      <u/>
      <sz val="11"/>
      <color theme="0"/>
      <name val="Calibri"/>
      <family val="2"/>
      <scheme val="minor"/>
    </font>
    <font>
      <b/>
      <sz val="11"/>
      <color rgb="FF4472C4"/>
      <name val="PragmaticaCTT"/>
    </font>
    <font>
      <b/>
      <sz val="11"/>
      <color theme="1" tint="0.499984740745262"/>
      <name val="PragmaticaCTT"/>
      <charset val="204"/>
    </font>
    <font>
      <sz val="11"/>
      <color theme="1"/>
      <name val="Arial"/>
      <family val="2"/>
    </font>
    <font>
      <b/>
      <sz val="14"/>
      <color theme="1"/>
      <name val="Arial"/>
      <family val="2"/>
    </font>
    <font>
      <b/>
      <sz val="12"/>
      <color rgb="FF0070C0"/>
      <name val="Arial"/>
      <family val="2"/>
    </font>
    <font>
      <b/>
      <sz val="11"/>
      <color theme="0"/>
      <name val="Arial"/>
      <family val="2"/>
    </font>
    <font>
      <b/>
      <sz val="11"/>
      <color theme="1"/>
      <name val="Arial"/>
      <family val="2"/>
    </font>
    <font>
      <sz val="13"/>
      <color rgb="FF202124"/>
      <name val="Arial"/>
      <family val="2"/>
    </font>
    <font>
      <sz val="11"/>
      <color rgb="FF000000"/>
      <name val="Calibri"/>
      <family val="2"/>
    </font>
    <font>
      <b/>
      <sz val="12"/>
      <color theme="1"/>
      <name val="Arial"/>
      <family val="2"/>
    </font>
    <font>
      <b/>
      <i/>
      <sz val="14"/>
      <color theme="1"/>
      <name val="Arial"/>
      <family val="2"/>
    </font>
    <font>
      <b/>
      <u/>
      <sz val="11"/>
      <color theme="1"/>
      <name val="Arial"/>
      <family val="2"/>
    </font>
  </fonts>
  <fills count="35">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9"/>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FFFFFF"/>
        <bgColor indexed="64"/>
      </patternFill>
    </fill>
    <fill>
      <patternFill patternType="solid">
        <fgColor theme="7" tint="0.79998168889431442"/>
        <bgColor indexed="64"/>
      </patternFill>
    </fill>
    <fill>
      <patternFill patternType="solid">
        <fgColor theme="9"/>
        <bgColor indexed="64"/>
      </patternFill>
    </fill>
    <fill>
      <patternFill patternType="solid">
        <fgColor rgb="FFEDEDED"/>
        <bgColor indexed="64"/>
      </patternFill>
    </fill>
    <fill>
      <patternFill patternType="solid">
        <fgColor rgb="FF92D05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DCE6F1"/>
        <bgColor indexed="64"/>
      </patternFill>
    </fill>
    <fill>
      <patternFill patternType="solid">
        <fgColor rgb="FF00B0F0"/>
        <bgColor indexed="64"/>
      </patternFill>
    </fill>
    <fill>
      <patternFill patternType="solid">
        <fgColor rgb="FFCCC0DA"/>
        <bgColor indexed="64"/>
      </patternFill>
    </fill>
    <fill>
      <patternFill patternType="solid">
        <fgColor rgb="FFD8E4BC"/>
        <bgColor indexed="64"/>
      </patternFill>
    </fill>
    <fill>
      <patternFill patternType="solid">
        <fgColor rgb="FFFABF8F"/>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bgColor indexed="64"/>
      </patternFill>
    </fill>
    <fill>
      <patternFill patternType="solid">
        <fgColor theme="4" tint="0.79998168889431442"/>
        <bgColor indexed="64"/>
      </patternFill>
    </fill>
    <fill>
      <patternFill patternType="solid">
        <fgColor theme="7"/>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dotted">
        <color rgb="FFE9E6E6"/>
      </bottom>
      <diagonal/>
    </border>
    <border>
      <left style="medium">
        <color rgb="FFCCCCCC"/>
      </left>
      <right style="medium">
        <color rgb="FFCCCCCC"/>
      </right>
      <top style="medium">
        <color rgb="FFCCCCCC"/>
      </top>
      <bottom style="dotted">
        <color rgb="FFE9E6E6"/>
      </bottom>
      <diagonal/>
    </border>
    <border>
      <left/>
      <right/>
      <top style="thick">
        <color rgb="FFCCCCCC"/>
      </top>
      <bottom/>
      <diagonal/>
    </border>
    <border>
      <left/>
      <right/>
      <top/>
      <bottom style="thick">
        <color rgb="FFCCCCCC"/>
      </bottom>
      <diagonal/>
    </border>
    <border>
      <left/>
      <right/>
      <top/>
      <bottom style="medium">
        <color rgb="FFCCCCCC"/>
      </bottom>
      <diagonal/>
    </border>
    <border>
      <left/>
      <right/>
      <top style="dotted">
        <color rgb="FFE9E6E6"/>
      </top>
      <bottom style="medium">
        <color rgb="FFC0C0C0"/>
      </bottom>
      <diagonal/>
    </border>
    <border>
      <left/>
      <right/>
      <top style="double">
        <color indexed="64"/>
      </top>
      <bottom style="thin">
        <color indexed="64"/>
      </bottom>
      <diagonal/>
    </border>
    <border>
      <left style="medium">
        <color rgb="FFCCCCCC"/>
      </left>
      <right style="medium">
        <color rgb="FFCCCCCC"/>
      </right>
      <top style="medium">
        <color rgb="FFCCCCCC"/>
      </top>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right style="thin">
        <color indexed="64"/>
      </right>
      <top/>
      <bottom style="thin">
        <color indexed="64"/>
      </bottom>
      <diagonal/>
    </border>
    <border>
      <left style="medium">
        <color indexed="64"/>
      </left>
      <right style="medium">
        <color indexed="64"/>
      </right>
      <top style="double">
        <color indexed="64"/>
      </top>
      <bottom style="thin">
        <color indexed="64"/>
      </bottom>
      <diagonal/>
    </border>
    <border>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s>
  <cellStyleXfs count="33">
    <xf numFmtId="0" fontId="0" fillId="0" borderId="0"/>
    <xf numFmtId="165" fontId="2" fillId="0" borderId="0" applyFont="0" applyFill="0" applyBorder="0" applyAlignment="0" applyProtection="0"/>
    <xf numFmtId="0" fontId="2" fillId="0" borderId="14"/>
    <xf numFmtId="0" fontId="7" fillId="0" borderId="0" applyNumberFormat="0" applyFill="0" applyBorder="0" applyAlignment="0" applyProtection="0"/>
    <xf numFmtId="0" fontId="9" fillId="0" borderId="0"/>
    <xf numFmtId="9" fontId="2" fillId="0" borderId="0" applyFont="0" applyFill="0" applyBorder="0" applyAlignment="0" applyProtection="0"/>
    <xf numFmtId="0" fontId="2" fillId="0" borderId="0"/>
    <xf numFmtId="164" fontId="2" fillId="0" borderId="0" applyFont="0" applyFill="0" applyBorder="0" applyAlignment="0" applyProtection="0"/>
    <xf numFmtId="0" fontId="10" fillId="0" borderId="0" applyNumberFormat="0" applyFill="0" applyBorder="0" applyAlignment="0" applyProtection="0"/>
    <xf numFmtId="0" fontId="8" fillId="0" borderId="0"/>
    <xf numFmtId="0" fontId="7" fillId="0" borderId="0" applyNumberFormat="0" applyFill="0" applyBorder="0" applyAlignment="0" applyProtection="0"/>
    <xf numFmtId="0" fontId="11" fillId="0" borderId="0"/>
    <xf numFmtId="9" fontId="8" fillId="0" borderId="0" applyFont="0" applyFill="0" applyBorder="0" applyAlignment="0" applyProtection="0"/>
    <xf numFmtId="0" fontId="30" fillId="0" borderId="0"/>
    <xf numFmtId="171" fontId="31" fillId="0" borderId="0" applyBorder="0" applyProtection="0">
      <alignment horizontal="left" vertical="center"/>
    </xf>
    <xf numFmtId="0" fontId="32" fillId="0" borderId="0" applyNumberFormat="0" applyFill="0" applyBorder="0" applyAlignment="0" applyProtection="0"/>
    <xf numFmtId="0" fontId="30" fillId="0" borderId="0" applyNumberFormat="0" applyFont="0" applyBorder="0" applyProtection="0"/>
    <xf numFmtId="0" fontId="35" fillId="0" borderId="0"/>
    <xf numFmtId="173" fontId="35" fillId="0" borderId="0"/>
    <xf numFmtId="9" fontId="35" fillId="0" borderId="0"/>
    <xf numFmtId="173" fontId="35" fillId="0" borderId="0"/>
    <xf numFmtId="173" fontId="35" fillId="0" borderId="0"/>
    <xf numFmtId="172" fontId="36" fillId="0" borderId="0">
      <alignment horizontal="left" vertical="center"/>
    </xf>
    <xf numFmtId="0" fontId="37" fillId="0" borderId="0"/>
    <xf numFmtId="0" fontId="37" fillId="0" borderId="0"/>
    <xf numFmtId="0" fontId="35" fillId="0" borderId="0"/>
    <xf numFmtId="172" fontId="33" fillId="0" borderId="0"/>
    <xf numFmtId="0" fontId="35" fillId="0" borderId="0"/>
    <xf numFmtId="0" fontId="38" fillId="0" borderId="0"/>
    <xf numFmtId="0" fontId="50"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xf numFmtId="164" fontId="8" fillId="0" borderId="0" applyFont="0" applyFill="0" applyBorder="0" applyAlignment="0" applyProtection="0"/>
  </cellStyleXfs>
  <cellXfs count="948">
    <xf numFmtId="0" fontId="0" fillId="0" borderId="0" xfId="0"/>
    <xf numFmtId="0" fontId="5" fillId="0" borderId="0" xfId="0" applyFont="1"/>
    <xf numFmtId="0" fontId="2" fillId="0" borderId="0" xfId="0" applyFont="1" applyProtection="1">
      <protection locked="0"/>
    </xf>
    <xf numFmtId="0" fontId="18" fillId="0" borderId="0" xfId="0" applyFont="1"/>
    <xf numFmtId="167" fontId="0" fillId="0" borderId="0" xfId="0" applyNumberFormat="1"/>
    <xf numFmtId="11" fontId="22" fillId="0" borderId="0" xfId="0" applyNumberFormat="1" applyFont="1" applyAlignment="1">
      <alignment horizontal="left"/>
    </xf>
    <xf numFmtId="11" fontId="23" fillId="0" borderId="0" xfId="0" applyNumberFormat="1" applyFont="1"/>
    <xf numFmtId="0" fontId="23" fillId="0" borderId="0" xfId="0" applyFont="1"/>
    <xf numFmtId="0" fontId="2" fillId="0" borderId="0" xfId="0" applyFont="1"/>
    <xf numFmtId="0" fontId="0" fillId="0" borderId="0" xfId="0" applyProtection="1">
      <protection locked="0"/>
    </xf>
    <xf numFmtId="0" fontId="24" fillId="0" borderId="0" xfId="0" applyFont="1" applyAlignment="1">
      <alignment horizontal="left"/>
    </xf>
    <xf numFmtId="11" fontId="15" fillId="0" borderId="0" xfId="0" applyNumberFormat="1" applyFont="1"/>
    <xf numFmtId="11" fontId="15" fillId="0" borderId="0" xfId="0" applyNumberFormat="1" applyFont="1" applyAlignment="1">
      <alignment horizontal="center"/>
    </xf>
    <xf numFmtId="11" fontId="15" fillId="0" borderId="0" xfId="0" applyNumberFormat="1" applyFont="1" applyAlignment="1">
      <alignment horizontal="right"/>
    </xf>
    <xf numFmtId="1" fontId="15" fillId="0" borderId="0" xfId="0" applyNumberFormat="1" applyFont="1" applyAlignment="1">
      <alignment horizontal="left"/>
    </xf>
    <xf numFmtId="0" fontId="15" fillId="0" borderId="0" xfId="0" applyFont="1" applyAlignment="1">
      <alignment horizontal="left"/>
    </xf>
    <xf numFmtId="0" fontId="25" fillId="0" borderId="0" xfId="0" applyFont="1" applyProtection="1">
      <protection locked="0"/>
    </xf>
    <xf numFmtId="0" fontId="25" fillId="0" borderId="0" xfId="0" applyFont="1"/>
    <xf numFmtId="0" fontId="25" fillId="0" borderId="0" xfId="0" applyFont="1" applyAlignment="1">
      <alignment horizontal="center"/>
    </xf>
    <xf numFmtId="0" fontId="25" fillId="0" borderId="0" xfId="0" applyFont="1" applyAlignment="1">
      <alignment horizontal="centerContinuous"/>
    </xf>
    <xf numFmtId="0" fontId="0" fillId="0" borderId="0" xfId="0" applyAlignment="1">
      <alignment horizontal="centerContinuous"/>
    </xf>
    <xf numFmtId="167" fontId="25" fillId="0" borderId="0" xfId="0" applyNumberFormat="1" applyFont="1"/>
    <xf numFmtId="2" fontId="25" fillId="0" borderId="0" xfId="0" applyNumberFormat="1" applyFont="1"/>
    <xf numFmtId="9" fontId="25" fillId="0" borderId="0" xfId="5" applyFont="1"/>
    <xf numFmtId="0" fontId="3" fillId="0" borderId="0" xfId="0" applyFont="1" applyProtection="1">
      <protection locked="0"/>
    </xf>
    <xf numFmtId="0" fontId="26" fillId="0" borderId="0" xfId="0" applyFont="1" applyAlignment="1" applyProtection="1">
      <alignment horizontal="center"/>
      <protection locked="0"/>
    </xf>
    <xf numFmtId="0" fontId="0" fillId="0" borderId="0" xfId="0" applyAlignment="1" applyProtection="1">
      <alignment horizontal="center"/>
      <protection locked="0"/>
    </xf>
    <xf numFmtId="166" fontId="27" fillId="0" borderId="0" xfId="0" applyNumberFormat="1" applyFont="1" applyAlignment="1" applyProtection="1">
      <alignment horizontal="center"/>
      <protection locked="0"/>
    </xf>
    <xf numFmtId="2" fontId="0" fillId="0" borderId="0" xfId="0" applyNumberFormat="1" applyAlignment="1" applyProtection="1">
      <alignment horizontal="center"/>
      <protection locked="0"/>
    </xf>
    <xf numFmtId="1" fontId="0" fillId="0" borderId="0" xfId="0" applyNumberFormat="1"/>
    <xf numFmtId="0" fontId="27" fillId="0" borderId="0" xfId="0" applyFont="1" applyAlignment="1" applyProtection="1">
      <alignment horizontal="center"/>
      <protection locked="0"/>
    </xf>
    <xf numFmtId="169" fontId="0" fillId="0" borderId="0" xfId="0" applyNumberFormat="1" applyAlignment="1" applyProtection="1">
      <alignment horizontal="center"/>
      <protection locked="0"/>
    </xf>
    <xf numFmtId="0" fontId="2" fillId="0" borderId="0" xfId="0" applyFont="1" applyAlignment="1" applyProtection="1">
      <alignment wrapText="1"/>
      <protection locked="0"/>
    </xf>
    <xf numFmtId="10" fontId="0" fillId="0" borderId="0" xfId="0" applyNumberFormat="1" applyProtection="1">
      <protection locked="0"/>
    </xf>
    <xf numFmtId="0" fontId="2" fillId="5" borderId="0" xfId="6" applyFill="1"/>
    <xf numFmtId="0" fontId="39" fillId="5" borderId="0" xfId="6" applyFont="1" applyFill="1" applyAlignment="1">
      <alignment horizontal="left"/>
    </xf>
    <xf numFmtId="0" fontId="39" fillId="5" borderId="0" xfId="6" applyFont="1" applyFill="1"/>
    <xf numFmtId="0" fontId="40" fillId="5" borderId="0" xfId="6" applyFont="1" applyFill="1"/>
    <xf numFmtId="0" fontId="41" fillId="5" borderId="0" xfId="6" applyFont="1" applyFill="1"/>
    <xf numFmtId="0" fontId="42" fillId="5" borderId="0" xfId="6" applyFont="1" applyFill="1"/>
    <xf numFmtId="0" fontId="23" fillId="5" borderId="0" xfId="6" applyFont="1" applyFill="1"/>
    <xf numFmtId="0" fontId="17" fillId="5" borderId="0" xfId="6" applyFont="1" applyFill="1"/>
    <xf numFmtId="0" fontId="16" fillId="5" borderId="0" xfId="6" applyFont="1" applyFill="1"/>
    <xf numFmtId="0" fontId="15" fillId="5" borderId="0" xfId="6" applyFont="1" applyFill="1"/>
    <xf numFmtId="0" fontId="16" fillId="5" borderId="0" xfId="6" applyFont="1" applyFill="1" applyAlignment="1">
      <alignment horizontal="right"/>
    </xf>
    <xf numFmtId="0" fontId="23" fillId="5" borderId="48" xfId="6" applyFont="1" applyFill="1" applyBorder="1" applyAlignment="1">
      <alignment horizontal="right" vertical="top" wrapText="1"/>
    </xf>
    <xf numFmtId="174" fontId="43" fillId="5" borderId="48" xfId="6" applyNumberFormat="1" applyFont="1" applyFill="1" applyBorder="1" applyAlignment="1">
      <alignment horizontal="right" vertical="top" wrapText="1"/>
    </xf>
    <xf numFmtId="0" fontId="43" fillId="5" borderId="48" xfId="6" applyFont="1" applyFill="1" applyBorder="1" applyAlignment="1">
      <alignment horizontal="right" vertical="top" wrapText="1"/>
    </xf>
    <xf numFmtId="0" fontId="45" fillId="5" borderId="0" xfId="6" applyFont="1" applyFill="1" applyAlignment="1">
      <alignment horizontal="right" vertical="top" wrapText="1"/>
    </xf>
    <xf numFmtId="0" fontId="23" fillId="5" borderId="0" xfId="6" applyFont="1" applyFill="1" applyAlignment="1">
      <alignment horizontal="right" vertical="top" wrapText="1"/>
    </xf>
    <xf numFmtId="0" fontId="43" fillId="5" borderId="0" xfId="6" applyFont="1" applyFill="1"/>
    <xf numFmtId="175" fontId="23" fillId="5" borderId="0" xfId="6" applyNumberFormat="1" applyFont="1" applyFill="1" applyAlignment="1">
      <alignment horizontal="right"/>
    </xf>
    <xf numFmtId="3" fontId="23" fillId="5" borderId="0" xfId="6" applyNumberFormat="1" applyFont="1" applyFill="1"/>
    <xf numFmtId="0" fontId="47" fillId="5" borderId="0" xfId="6" applyFont="1" applyFill="1"/>
    <xf numFmtId="0" fontId="48" fillId="13" borderId="44" xfId="6" applyFont="1" applyFill="1" applyBorder="1" applyAlignment="1">
      <alignment horizontal="right" vertical="top" wrapText="1"/>
    </xf>
    <xf numFmtId="176" fontId="23" fillId="5" borderId="0" xfId="6" applyNumberFormat="1" applyFont="1" applyFill="1" applyAlignment="1">
      <alignment horizontal="right"/>
    </xf>
    <xf numFmtId="177" fontId="23" fillId="5" borderId="0" xfId="6" applyNumberFormat="1" applyFont="1" applyFill="1" applyAlignment="1">
      <alignment horizontal="right"/>
    </xf>
    <xf numFmtId="176" fontId="23" fillId="5" borderId="0" xfId="6" applyNumberFormat="1" applyFont="1" applyFill="1"/>
    <xf numFmtId="3" fontId="47" fillId="5" borderId="0" xfId="6" applyNumberFormat="1" applyFont="1" applyFill="1"/>
    <xf numFmtId="0" fontId="48" fillId="13" borderId="42" xfId="6" applyFont="1" applyFill="1" applyBorder="1" applyAlignment="1">
      <alignment horizontal="right" vertical="top" wrapText="1"/>
    </xf>
    <xf numFmtId="0" fontId="49" fillId="13" borderId="43" xfId="6" applyFont="1" applyFill="1" applyBorder="1" applyAlignment="1">
      <alignment horizontal="left" vertical="center"/>
    </xf>
    <xf numFmtId="3" fontId="49" fillId="13" borderId="43" xfId="6" applyNumberFormat="1" applyFont="1" applyFill="1" applyBorder="1" applyAlignment="1">
      <alignment horizontal="right" vertical="center" wrapText="1"/>
    </xf>
    <xf numFmtId="0" fontId="49" fillId="13" borderId="43" xfId="6" applyFont="1" applyFill="1" applyBorder="1" applyAlignment="1">
      <alignment horizontal="right" vertical="center" wrapText="1"/>
    </xf>
    <xf numFmtId="164" fontId="23" fillId="5" borderId="0" xfId="7" applyFont="1" applyFill="1"/>
    <xf numFmtId="0" fontId="50" fillId="5" borderId="0" xfId="29" applyFill="1" applyAlignment="1" applyProtection="1"/>
    <xf numFmtId="0" fontId="49" fillId="13" borderId="43" xfId="6" applyFont="1" applyFill="1" applyBorder="1" applyAlignment="1">
      <alignment horizontal="left" vertical="center" wrapText="1" indent="1"/>
    </xf>
    <xf numFmtId="178" fontId="23" fillId="5" borderId="0" xfId="6" applyNumberFormat="1" applyFont="1" applyFill="1" applyAlignment="1">
      <alignment horizontal="right"/>
    </xf>
    <xf numFmtId="0" fontId="43" fillId="5" borderId="36" xfId="6" applyFont="1" applyFill="1" applyBorder="1" applyAlignment="1">
      <alignment vertical="center"/>
    </xf>
    <xf numFmtId="176" fontId="17" fillId="5" borderId="36" xfId="6" applyNumberFormat="1" applyFont="1" applyFill="1" applyBorder="1" applyAlignment="1">
      <alignment horizontal="right"/>
    </xf>
    <xf numFmtId="177" fontId="17" fillId="5" borderId="36" xfId="6" applyNumberFormat="1" applyFont="1" applyFill="1" applyBorder="1" applyAlignment="1">
      <alignment horizontal="right"/>
    </xf>
    <xf numFmtId="0" fontId="47" fillId="5" borderId="0" xfId="6" applyFont="1" applyFill="1" applyAlignment="1">
      <alignment vertical="center"/>
    </xf>
    <xf numFmtId="0" fontId="49" fillId="7" borderId="43" xfId="6" applyFont="1" applyFill="1" applyBorder="1" applyAlignment="1">
      <alignment horizontal="right" vertical="center" wrapText="1"/>
    </xf>
    <xf numFmtId="164" fontId="23" fillId="5" borderId="0" xfId="7" applyFont="1" applyFill="1" applyAlignment="1">
      <alignment vertical="center"/>
    </xf>
    <xf numFmtId="179" fontId="23" fillId="5" borderId="0" xfId="6" applyNumberFormat="1" applyFont="1" applyFill="1" applyAlignment="1">
      <alignment vertical="center"/>
    </xf>
    <xf numFmtId="3" fontId="49" fillId="7" borderId="43" xfId="6" applyNumberFormat="1" applyFont="1" applyFill="1" applyBorder="1" applyAlignment="1">
      <alignment horizontal="right" vertical="center" wrapText="1"/>
    </xf>
    <xf numFmtId="177" fontId="17" fillId="5" borderId="0" xfId="6" applyNumberFormat="1" applyFont="1" applyFill="1" applyAlignment="1">
      <alignment horizontal="right"/>
    </xf>
    <xf numFmtId="176" fontId="17" fillId="5" borderId="0" xfId="6" applyNumberFormat="1" applyFont="1" applyFill="1" applyAlignment="1">
      <alignment horizontal="right"/>
    </xf>
    <xf numFmtId="3" fontId="49" fillId="17" borderId="43" xfId="6" applyNumberFormat="1" applyFont="1" applyFill="1" applyBorder="1" applyAlignment="1">
      <alignment horizontal="right" vertical="center" wrapText="1"/>
    </xf>
    <xf numFmtId="0" fontId="52" fillId="5" borderId="0" xfId="6" applyFont="1" applyFill="1"/>
    <xf numFmtId="0" fontId="23" fillId="5" borderId="4" xfId="6" applyFont="1" applyFill="1" applyBorder="1"/>
    <xf numFmtId="176" fontId="23" fillId="5" borderId="4" xfId="6" applyNumberFormat="1" applyFont="1" applyFill="1" applyBorder="1" applyAlignment="1">
      <alignment horizontal="right"/>
    </xf>
    <xf numFmtId="0" fontId="49" fillId="16" borderId="43" xfId="6" applyFont="1" applyFill="1" applyBorder="1" applyAlignment="1">
      <alignment horizontal="left" vertical="center" wrapText="1" indent="1"/>
    </xf>
    <xf numFmtId="0" fontId="49" fillId="16" borderId="43" xfId="6" applyFont="1" applyFill="1" applyBorder="1" applyAlignment="1">
      <alignment horizontal="right" vertical="center" wrapText="1"/>
    </xf>
    <xf numFmtId="0" fontId="49" fillId="13" borderId="49" xfId="6" applyFont="1" applyFill="1" applyBorder="1" applyAlignment="1">
      <alignment horizontal="left" vertical="top" wrapText="1" indent="1"/>
    </xf>
    <xf numFmtId="3" fontId="49" fillId="17" borderId="49" xfId="6" applyNumberFormat="1" applyFont="1" applyFill="1" applyBorder="1" applyAlignment="1">
      <alignment horizontal="right" vertical="top" wrapText="1"/>
    </xf>
    <xf numFmtId="0" fontId="49" fillId="13" borderId="49" xfId="6" applyFont="1" applyFill="1" applyBorder="1" applyAlignment="1">
      <alignment horizontal="right" vertical="top" wrapText="1"/>
    </xf>
    <xf numFmtId="0" fontId="53" fillId="11" borderId="5" xfId="6" applyFont="1" applyFill="1" applyBorder="1"/>
    <xf numFmtId="0" fontId="53" fillId="11" borderId="6" xfId="6" applyFont="1" applyFill="1" applyBorder="1"/>
    <xf numFmtId="0" fontId="54" fillId="11" borderId="6" xfId="6" applyFont="1" applyFill="1" applyBorder="1"/>
    <xf numFmtId="0" fontId="53" fillId="11" borderId="7" xfId="6" applyFont="1" applyFill="1" applyBorder="1" applyAlignment="1">
      <alignment horizontal="centerContinuous" vertical="top"/>
    </xf>
    <xf numFmtId="0" fontId="53" fillId="11" borderId="8" xfId="6" applyFont="1" applyFill="1" applyBorder="1" applyAlignment="1">
      <alignment horizontal="centerContinuous" vertical="top"/>
    </xf>
    <xf numFmtId="0" fontId="54" fillId="11" borderId="9" xfId="6" applyFont="1" applyFill="1" applyBorder="1" applyAlignment="1">
      <alignment horizontal="center" vertical="center" wrapText="1"/>
    </xf>
    <xf numFmtId="0" fontId="54" fillId="11" borderId="8" xfId="6" applyFont="1" applyFill="1" applyBorder="1" applyAlignment="1">
      <alignment horizontal="center" vertical="top" wrapText="1"/>
    </xf>
    <xf numFmtId="0" fontId="55" fillId="11" borderId="8" xfId="6" applyFont="1" applyFill="1" applyBorder="1" applyAlignment="1">
      <alignment horizontal="center" vertical="top" wrapText="1"/>
    </xf>
    <xf numFmtId="0" fontId="53" fillId="11" borderId="24" xfId="6" applyFont="1" applyFill="1" applyBorder="1" applyAlignment="1">
      <alignment vertical="center"/>
    </xf>
    <xf numFmtId="0" fontId="53" fillId="11" borderId="25" xfId="6" applyFont="1" applyFill="1" applyBorder="1" applyAlignment="1">
      <alignment vertical="center"/>
    </xf>
    <xf numFmtId="1" fontId="15" fillId="9" borderId="26" xfId="1" applyNumberFormat="1" applyFont="1" applyFill="1" applyBorder="1" applyAlignment="1">
      <alignment horizontal="center" vertical="center"/>
    </xf>
    <xf numFmtId="1" fontId="15" fillId="9" borderId="27" xfId="1" applyNumberFormat="1" applyFont="1" applyFill="1" applyBorder="1" applyAlignment="1">
      <alignment horizontal="center" vertical="center"/>
    </xf>
    <xf numFmtId="1" fontId="15" fillId="9" borderId="28" xfId="1" applyNumberFormat="1" applyFont="1" applyFill="1" applyBorder="1" applyAlignment="1">
      <alignment horizontal="center" vertical="center"/>
    </xf>
    <xf numFmtId="1" fontId="56" fillId="10" borderId="10" xfId="6" applyNumberFormat="1" applyFont="1" applyFill="1" applyBorder="1" applyAlignment="1">
      <alignment horizontal="center" vertical="center"/>
    </xf>
    <xf numFmtId="1" fontId="15" fillId="9" borderId="11" xfId="1" applyNumberFormat="1" applyFont="1" applyFill="1" applyBorder="1" applyAlignment="1">
      <alignment horizontal="center" vertical="center"/>
    </xf>
    <xf numFmtId="1" fontId="15" fillId="9" borderId="10" xfId="1" applyNumberFormat="1" applyFont="1" applyFill="1" applyBorder="1" applyAlignment="1">
      <alignment horizontal="center" vertical="center"/>
    </xf>
    <xf numFmtId="1" fontId="57" fillId="12" borderId="12" xfId="1" applyNumberFormat="1" applyFont="1" applyFill="1" applyBorder="1" applyAlignment="1">
      <alignment horizontal="center" vertical="center"/>
    </xf>
    <xf numFmtId="1" fontId="57" fillId="3" borderId="12" xfId="1" applyNumberFormat="1" applyFont="1" applyFill="1" applyBorder="1" applyAlignment="1">
      <alignment horizontal="center" vertical="center"/>
    </xf>
    <xf numFmtId="1" fontId="15" fillId="9" borderId="1" xfId="1" applyNumberFormat="1" applyFont="1" applyFill="1" applyBorder="1" applyAlignment="1">
      <alignment horizontal="center" vertical="center"/>
    </xf>
    <xf numFmtId="1" fontId="15" fillId="9" borderId="14" xfId="1" applyNumberFormat="1" applyFont="1" applyFill="1" applyBorder="1" applyAlignment="1">
      <alignment horizontal="center" vertical="center"/>
    </xf>
    <xf numFmtId="1" fontId="56" fillId="10" borderId="15" xfId="6" applyNumberFormat="1" applyFont="1" applyFill="1" applyBorder="1" applyAlignment="1">
      <alignment horizontal="center" vertical="center"/>
    </xf>
    <xf numFmtId="1" fontId="57" fillId="12" borderId="17" xfId="1" applyNumberFormat="1" applyFont="1" applyFill="1" applyBorder="1" applyAlignment="1">
      <alignment horizontal="center" vertical="center"/>
    </xf>
    <xf numFmtId="1" fontId="15" fillId="9" borderId="13" xfId="1" applyNumberFormat="1" applyFont="1" applyFill="1" applyBorder="1" applyAlignment="1">
      <alignment horizontal="center" vertical="center"/>
    </xf>
    <xf numFmtId="0" fontId="43" fillId="5" borderId="4" xfId="6" applyFont="1" applyFill="1" applyBorder="1"/>
    <xf numFmtId="0" fontId="43" fillId="5" borderId="36" xfId="6" applyFont="1" applyFill="1" applyBorder="1"/>
    <xf numFmtId="176" fontId="17" fillId="5" borderId="36" xfId="6" applyNumberFormat="1" applyFont="1" applyFill="1" applyBorder="1" applyAlignment="1">
      <alignment horizontal="right" vertical="center"/>
    </xf>
    <xf numFmtId="176" fontId="17" fillId="0" borderId="36" xfId="6" applyNumberFormat="1" applyFont="1" applyBorder="1" applyAlignment="1">
      <alignment horizontal="right" vertical="center"/>
    </xf>
    <xf numFmtId="177" fontId="17" fillId="5" borderId="36" xfId="6" applyNumberFormat="1" applyFont="1" applyFill="1" applyBorder="1" applyAlignment="1">
      <alignment horizontal="right" vertical="center"/>
    </xf>
    <xf numFmtId="0" fontId="53" fillId="11" borderId="16" xfId="6" applyFont="1" applyFill="1" applyBorder="1" applyAlignment="1">
      <alignment vertical="center"/>
    </xf>
    <xf numFmtId="0" fontId="53" fillId="11" borderId="15" xfId="6" applyFont="1" applyFill="1" applyBorder="1" applyAlignment="1">
      <alignment vertical="center"/>
    </xf>
    <xf numFmtId="0" fontId="53" fillId="11" borderId="18" xfId="6" applyFont="1" applyFill="1" applyBorder="1" applyAlignment="1">
      <alignment vertical="center"/>
    </xf>
    <xf numFmtId="1" fontId="15" fillId="9" borderId="30" xfId="1" applyNumberFormat="1" applyFont="1" applyFill="1" applyBorder="1" applyAlignment="1">
      <alignment horizontal="center" vertical="center"/>
    </xf>
    <xf numFmtId="1" fontId="15" fillId="9" borderId="31" xfId="1" applyNumberFormat="1" applyFont="1" applyFill="1" applyBorder="1" applyAlignment="1">
      <alignment horizontal="center" vertical="center"/>
    </xf>
    <xf numFmtId="1" fontId="56" fillId="10" borderId="18" xfId="6" applyNumberFormat="1" applyFont="1" applyFill="1" applyBorder="1" applyAlignment="1">
      <alignment horizontal="center" vertical="center"/>
    </xf>
    <xf numFmtId="1" fontId="57" fillId="12" borderId="32" xfId="1" applyNumberFormat="1" applyFont="1" applyFill="1" applyBorder="1" applyAlignment="1">
      <alignment horizontal="center" vertical="center"/>
    </xf>
    <xf numFmtId="1" fontId="15" fillId="9" borderId="29" xfId="1" applyNumberFormat="1" applyFont="1" applyFill="1" applyBorder="1" applyAlignment="1">
      <alignment horizontal="center" vertical="center"/>
    </xf>
    <xf numFmtId="0" fontId="53" fillId="11" borderId="19" xfId="6" applyFont="1" applyFill="1" applyBorder="1" applyAlignment="1">
      <alignment vertical="center"/>
    </xf>
    <xf numFmtId="0" fontId="53" fillId="11" borderId="9" xfId="6" applyFont="1" applyFill="1" applyBorder="1" applyAlignment="1">
      <alignment vertical="center"/>
    </xf>
    <xf numFmtId="1" fontId="57" fillId="0" borderId="20" xfId="2" applyNumberFormat="1" applyFont="1" applyBorder="1" applyAlignment="1">
      <alignment horizontal="center" vertical="center"/>
    </xf>
    <xf numFmtId="1" fontId="57" fillId="0" borderId="21" xfId="2" applyNumberFormat="1" applyFont="1" applyBorder="1" applyAlignment="1">
      <alignment horizontal="center" vertical="center"/>
    </xf>
    <xf numFmtId="1" fontId="57" fillId="0" borderId="22" xfId="2" applyNumberFormat="1" applyFont="1" applyBorder="1" applyAlignment="1">
      <alignment horizontal="center" vertical="center"/>
    </xf>
    <xf numFmtId="1" fontId="57" fillId="10" borderId="20" xfId="2" applyNumberFormat="1" applyFont="1" applyFill="1" applyBorder="1" applyAlignment="1">
      <alignment horizontal="center" vertical="center"/>
    </xf>
    <xf numFmtId="1" fontId="57" fillId="12" borderId="23" xfId="2" applyNumberFormat="1" applyFont="1" applyFill="1" applyBorder="1" applyAlignment="1">
      <alignment horizontal="center" vertical="center"/>
    </xf>
    <xf numFmtId="164" fontId="47" fillId="5" borderId="1" xfId="7" applyFont="1" applyFill="1" applyBorder="1"/>
    <xf numFmtId="164" fontId="47" fillId="5" borderId="1" xfId="7" applyFont="1" applyFill="1" applyBorder="1" applyAlignment="1">
      <alignment horizontal="center" vertical="center"/>
    </xf>
    <xf numFmtId="164" fontId="43" fillId="5" borderId="1" xfId="7" applyFont="1" applyFill="1" applyBorder="1" applyAlignment="1">
      <alignment horizontal="center" vertical="center"/>
    </xf>
    <xf numFmtId="179" fontId="47" fillId="5" borderId="1" xfId="7" applyNumberFormat="1" applyFont="1" applyFill="1" applyBorder="1"/>
    <xf numFmtId="164" fontId="17" fillId="5" borderId="1" xfId="7" applyFont="1" applyFill="1" applyBorder="1" applyAlignment="1">
      <alignment horizontal="right"/>
    </xf>
    <xf numFmtId="164" fontId="23" fillId="5" borderId="1" xfId="7" applyFont="1" applyFill="1" applyBorder="1" applyAlignment="1">
      <alignment horizontal="right"/>
    </xf>
    <xf numFmtId="179" fontId="47" fillId="17" borderId="1" xfId="7" applyNumberFormat="1" applyFont="1" applyFill="1" applyBorder="1"/>
    <xf numFmtId="164" fontId="43" fillId="5" borderId="1" xfId="7" applyFont="1" applyFill="1" applyBorder="1" applyAlignment="1">
      <alignment horizontal="right" vertical="top" wrapText="1"/>
    </xf>
    <xf numFmtId="0" fontId="58" fillId="0" borderId="0" xfId="6" applyFont="1"/>
    <xf numFmtId="0" fontId="47" fillId="15" borderId="0" xfId="6" applyFont="1" applyFill="1"/>
    <xf numFmtId="0" fontId="43" fillId="5" borderId="50" xfId="6" applyFont="1" applyFill="1" applyBorder="1" applyAlignment="1">
      <alignment vertical="center"/>
    </xf>
    <xf numFmtId="176" fontId="23" fillId="5" borderId="50" xfId="6" applyNumberFormat="1" applyFont="1" applyFill="1" applyBorder="1" applyAlignment="1">
      <alignment horizontal="right"/>
    </xf>
    <xf numFmtId="176" fontId="17" fillId="5" borderId="50" xfId="6" applyNumberFormat="1" applyFont="1" applyFill="1" applyBorder="1" applyAlignment="1">
      <alignment horizontal="right"/>
    </xf>
    <xf numFmtId="175" fontId="17" fillId="5" borderId="0" xfId="6" applyNumberFormat="1" applyFont="1" applyFill="1" applyAlignment="1">
      <alignment horizontal="right"/>
    </xf>
    <xf numFmtId="0" fontId="59" fillId="5" borderId="0" xfId="6" applyFont="1" applyFill="1" applyAlignment="1">
      <alignment vertical="center"/>
    </xf>
    <xf numFmtId="0" fontId="51" fillId="5" borderId="0" xfId="6" applyFont="1" applyFill="1"/>
    <xf numFmtId="0" fontId="60" fillId="5" borderId="0" xfId="6" applyFont="1" applyFill="1"/>
    <xf numFmtId="0" fontId="61" fillId="5" borderId="0" xfId="6" applyFont="1" applyFill="1"/>
    <xf numFmtId="0" fontId="34" fillId="5" borderId="0" xfId="6" applyFont="1" applyFill="1"/>
    <xf numFmtId="168" fontId="1" fillId="9" borderId="0" xfId="0" applyNumberFormat="1" applyFont="1" applyFill="1"/>
    <xf numFmtId="168" fontId="1" fillId="9" borderId="3" xfId="0" applyNumberFormat="1" applyFont="1" applyFill="1" applyBorder="1"/>
    <xf numFmtId="168" fontId="1" fillId="19" borderId="0" xfId="0" applyNumberFormat="1" applyFont="1" applyFill="1"/>
    <xf numFmtId="0" fontId="1" fillId="19" borderId="3" xfId="0" applyFont="1" applyFill="1" applyBorder="1" applyAlignment="1">
      <alignment horizontal="left"/>
    </xf>
    <xf numFmtId="168" fontId="4" fillId="19" borderId="2" xfId="0" applyNumberFormat="1" applyFont="1" applyFill="1" applyBorder="1"/>
    <xf numFmtId="168" fontId="1" fillId="9" borderId="2" xfId="0" applyNumberFormat="1" applyFont="1" applyFill="1" applyBorder="1"/>
    <xf numFmtId="168" fontId="4" fillId="9" borderId="0" xfId="0" applyNumberFormat="1" applyFont="1" applyFill="1"/>
    <xf numFmtId="167" fontId="62" fillId="18" borderId="0" xfId="0" applyNumberFormat="1" applyFont="1" applyFill="1" applyAlignment="1">
      <alignment horizontal="center" vertical="center"/>
    </xf>
    <xf numFmtId="167" fontId="12" fillId="18" borderId="0" xfId="0" applyNumberFormat="1" applyFont="1" applyFill="1"/>
    <xf numFmtId="168" fontId="34" fillId="18" borderId="0" xfId="0" applyNumberFormat="1" applyFont="1" applyFill="1"/>
    <xf numFmtId="168" fontId="12" fillId="18" borderId="0" xfId="0" applyNumberFormat="1" applyFont="1" applyFill="1"/>
    <xf numFmtId="167" fontId="34" fillId="18" borderId="0" xfId="0" applyNumberFormat="1" applyFont="1" applyFill="1"/>
    <xf numFmtId="167" fontId="12" fillId="18" borderId="0" xfId="0" applyNumberFormat="1" applyFont="1" applyFill="1" applyAlignment="1">
      <alignment horizontal="right"/>
    </xf>
    <xf numFmtId="167" fontId="12" fillId="18" borderId="0" xfId="0" applyNumberFormat="1" applyFont="1" applyFill="1" applyAlignment="1">
      <alignment vertical="center"/>
    </xf>
    <xf numFmtId="167" fontId="13" fillId="18" borderId="0" xfId="0" applyNumberFormat="1" applyFont="1" applyFill="1" applyAlignment="1">
      <alignment horizontal="center" vertical="center" wrapText="1"/>
    </xf>
    <xf numFmtId="167" fontId="13" fillId="18" borderId="0" xfId="0" applyNumberFormat="1" applyFont="1" applyFill="1" applyAlignment="1">
      <alignment wrapText="1"/>
    </xf>
    <xf numFmtId="167" fontId="13" fillId="18" borderId="0" xfId="0" applyNumberFormat="1" applyFont="1" applyFill="1"/>
    <xf numFmtId="168" fontId="63" fillId="18" borderId="0" xfId="0" applyNumberFormat="1" applyFont="1" applyFill="1"/>
    <xf numFmtId="168" fontId="13" fillId="18" borderId="0" xfId="0" applyNumberFormat="1" applyFont="1" applyFill="1"/>
    <xf numFmtId="168" fontId="62" fillId="18" borderId="0" xfId="0" applyNumberFormat="1" applyFont="1" applyFill="1" applyAlignment="1">
      <alignment vertical="center"/>
    </xf>
    <xf numFmtId="167" fontId="62" fillId="18" borderId="0" xfId="0" applyNumberFormat="1" applyFont="1" applyFill="1" applyAlignment="1">
      <alignment vertical="center"/>
    </xf>
    <xf numFmtId="167" fontId="13" fillId="18" borderId="0" xfId="0" applyNumberFormat="1" applyFont="1" applyFill="1" applyAlignment="1">
      <alignment horizontal="center" wrapText="1"/>
    </xf>
    <xf numFmtId="168" fontId="13" fillId="18" borderId="0" xfId="0" applyNumberFormat="1" applyFont="1" applyFill="1" applyAlignment="1">
      <alignment horizontal="center" wrapText="1"/>
    </xf>
    <xf numFmtId="1" fontId="15" fillId="15" borderId="26" xfId="1" applyNumberFormat="1" applyFont="1" applyFill="1" applyBorder="1" applyAlignment="1">
      <alignment horizontal="center" vertical="center"/>
    </xf>
    <xf numFmtId="1" fontId="15" fillId="15" borderId="11" xfId="1" applyNumberFormat="1" applyFont="1" applyFill="1" applyBorder="1" applyAlignment="1">
      <alignment horizontal="center" vertical="center"/>
    </xf>
    <xf numFmtId="0" fontId="53" fillId="11" borderId="0" xfId="6" applyFont="1" applyFill="1" applyAlignment="1">
      <alignment vertical="center"/>
    </xf>
    <xf numFmtId="1" fontId="57" fillId="0" borderId="0" xfId="2" applyNumberFormat="1" applyFont="1" applyBorder="1" applyAlignment="1">
      <alignment horizontal="center" vertical="center"/>
    </xf>
    <xf numFmtId="1" fontId="57" fillId="10" borderId="0" xfId="2" applyNumberFormat="1" applyFont="1" applyFill="1" applyBorder="1" applyAlignment="1">
      <alignment horizontal="center" vertical="center"/>
    </xf>
    <xf numFmtId="1" fontId="57" fillId="12" borderId="0" xfId="2" applyNumberFormat="1" applyFont="1" applyFill="1" applyBorder="1" applyAlignment="1">
      <alignment horizontal="center" vertical="center"/>
    </xf>
    <xf numFmtId="1" fontId="57" fillId="3" borderId="0" xfId="1" applyNumberFormat="1" applyFont="1" applyFill="1" applyBorder="1" applyAlignment="1">
      <alignment horizontal="center" vertical="center"/>
    </xf>
    <xf numFmtId="9" fontId="15" fillId="9" borderId="26" xfId="12" applyFont="1" applyFill="1" applyBorder="1" applyAlignment="1">
      <alignment horizontal="center" vertical="center"/>
    </xf>
    <xf numFmtId="9" fontId="15" fillId="9" borderId="11" xfId="12" applyFont="1" applyFill="1" applyBorder="1" applyAlignment="1">
      <alignment horizontal="center" vertical="center"/>
    </xf>
    <xf numFmtId="9" fontId="15" fillId="9" borderId="28" xfId="12" applyFont="1" applyFill="1" applyBorder="1" applyAlignment="1">
      <alignment horizontal="center" vertical="center"/>
    </xf>
    <xf numFmtId="1" fontId="2" fillId="5" borderId="0" xfId="6" applyNumberFormat="1" applyFill="1"/>
    <xf numFmtId="170" fontId="15" fillId="9" borderId="11" xfId="12" applyNumberFormat="1" applyFont="1" applyFill="1" applyBorder="1" applyAlignment="1">
      <alignment horizontal="center" vertical="center"/>
    </xf>
    <xf numFmtId="167" fontId="15" fillId="9" borderId="11" xfId="1" applyNumberFormat="1" applyFont="1" applyFill="1" applyBorder="1" applyAlignment="1">
      <alignment horizontal="center" vertical="center"/>
    </xf>
    <xf numFmtId="10" fontId="15" fillId="9" borderId="11" xfId="12" applyNumberFormat="1" applyFont="1" applyFill="1" applyBorder="1" applyAlignment="1">
      <alignment horizontal="center" vertical="center"/>
    </xf>
    <xf numFmtId="0" fontId="7" fillId="5" borderId="0" xfId="3" applyFill="1"/>
    <xf numFmtId="0" fontId="20" fillId="0" borderId="0" xfId="0" applyFont="1"/>
    <xf numFmtId="0" fontId="8" fillId="0" borderId="0" xfId="30" applyAlignment="1">
      <alignment horizontal="center"/>
    </xf>
    <xf numFmtId="0" fontId="8" fillId="0" borderId="56" xfId="30" applyBorder="1" applyAlignment="1">
      <alignment horizontal="center" wrapText="1"/>
    </xf>
    <xf numFmtId="2" fontId="8" fillId="0" borderId="56" xfId="30" applyNumberFormat="1" applyBorder="1"/>
    <xf numFmtId="0" fontId="8" fillId="0" borderId="56" xfId="30" applyBorder="1" applyAlignment="1">
      <alignment horizontal="center"/>
    </xf>
    <xf numFmtId="0" fontId="8" fillId="0" borderId="56" xfId="30" applyBorder="1"/>
    <xf numFmtId="0" fontId="8" fillId="0" borderId="0" xfId="30"/>
    <xf numFmtId="0" fontId="68" fillId="0" borderId="37" xfId="30" applyFont="1" applyBorder="1" applyAlignment="1">
      <alignment horizontal="center" vertical="center" wrapText="1" readingOrder="1"/>
    </xf>
    <xf numFmtId="0" fontId="68" fillId="0" borderId="3" xfId="30" applyFont="1" applyBorder="1" applyAlignment="1">
      <alignment horizontal="center" wrapText="1" readingOrder="1"/>
    </xf>
    <xf numFmtId="0" fontId="68" fillId="0" borderId="2" xfId="30" applyFont="1" applyBorder="1" applyAlignment="1">
      <alignment horizontal="center" wrapText="1" readingOrder="1"/>
    </xf>
    <xf numFmtId="0" fontId="68" fillId="0" borderId="59" xfId="30" applyFont="1" applyBorder="1" applyAlignment="1">
      <alignment horizontal="center" wrapText="1" readingOrder="1"/>
    </xf>
    <xf numFmtId="0" fontId="68" fillId="20" borderId="67" xfId="30" applyFont="1" applyFill="1" applyBorder="1" applyAlignment="1">
      <alignment horizontal="center" vertical="center" wrapText="1" readingOrder="1"/>
    </xf>
    <xf numFmtId="0" fontId="68" fillId="0" borderId="68" xfId="30" applyFont="1" applyBorder="1" applyAlignment="1">
      <alignment horizontal="center" vertical="center" wrapText="1" readingOrder="1"/>
    </xf>
    <xf numFmtId="0" fontId="68" fillId="0" borderId="69" xfId="30" applyFont="1" applyBorder="1" applyAlignment="1">
      <alignment horizontal="center" vertical="center" wrapText="1" readingOrder="1"/>
    </xf>
    <xf numFmtId="0" fontId="68" fillId="0" borderId="70" xfId="30" applyFont="1" applyBorder="1" applyAlignment="1">
      <alignment horizontal="center" vertical="center" wrapText="1" readingOrder="1"/>
    </xf>
    <xf numFmtId="0" fontId="68" fillId="0" borderId="71" xfId="30" applyFont="1" applyBorder="1" applyAlignment="1">
      <alignment horizontal="center" vertical="center" wrapText="1" readingOrder="1"/>
    </xf>
    <xf numFmtId="0" fontId="69" fillId="7" borderId="65" xfId="30" applyFont="1" applyFill="1" applyBorder="1" applyAlignment="1">
      <alignment horizontal="center" vertical="center" wrapText="1" readingOrder="1"/>
    </xf>
    <xf numFmtId="0" fontId="68" fillId="0" borderId="72" xfId="30" applyFont="1" applyBorder="1" applyAlignment="1">
      <alignment horizontal="center" vertical="center" wrapText="1" readingOrder="1"/>
    </xf>
    <xf numFmtId="0" fontId="69" fillId="0" borderId="73" xfId="30" applyFont="1" applyBorder="1" applyAlignment="1">
      <alignment horizontal="center" vertical="center" wrapText="1" readingOrder="1"/>
    </xf>
    <xf numFmtId="0" fontId="68" fillId="21" borderId="74" xfId="30" applyFont="1" applyFill="1" applyBorder="1" applyAlignment="1">
      <alignment horizontal="center" vertical="center" wrapText="1" readingOrder="1"/>
    </xf>
    <xf numFmtId="2" fontId="15" fillId="0" borderId="53" xfId="30" applyNumberFormat="1" applyFont="1" applyBorder="1" applyAlignment="1">
      <alignment horizontal="center" vertical="center" wrapText="1"/>
    </xf>
    <xf numFmtId="2" fontId="15" fillId="0" borderId="27" xfId="30" applyNumberFormat="1" applyFont="1" applyBorder="1" applyAlignment="1">
      <alignment horizontal="center" vertical="center" wrapText="1"/>
    </xf>
    <xf numFmtId="2" fontId="15" fillId="0" borderId="39" xfId="30" applyNumberFormat="1" applyFont="1" applyBorder="1" applyAlignment="1">
      <alignment horizontal="center" vertical="center" wrapText="1"/>
    </xf>
    <xf numFmtId="0" fontId="15" fillId="0" borderId="62" xfId="30" applyFont="1" applyBorder="1" applyAlignment="1">
      <alignment horizontal="center" vertical="center" wrapText="1"/>
    </xf>
    <xf numFmtId="2" fontId="15" fillId="0" borderId="62" xfId="30" applyNumberFormat="1" applyFont="1" applyBorder="1" applyAlignment="1">
      <alignment horizontal="center" vertical="center" wrapText="1"/>
    </xf>
    <xf numFmtId="2" fontId="16" fillId="7" borderId="12" xfId="30" applyNumberFormat="1" applyFont="1" applyFill="1" applyBorder="1" applyAlignment="1">
      <alignment horizontal="center" vertical="center" wrapText="1"/>
    </xf>
    <xf numFmtId="0" fontId="15" fillId="0" borderId="27" xfId="30" applyFont="1" applyBorder="1" applyAlignment="1">
      <alignment horizontal="center" vertical="center" wrapText="1"/>
    </xf>
    <xf numFmtId="2" fontId="70" fillId="14" borderId="12" xfId="30" applyNumberFormat="1" applyFont="1" applyFill="1" applyBorder="1" applyAlignment="1">
      <alignment horizontal="center" vertical="center" wrapText="1"/>
    </xf>
    <xf numFmtId="2" fontId="15" fillId="0" borderId="34" xfId="30" applyNumberFormat="1" applyFont="1" applyBorder="1" applyAlignment="1">
      <alignment horizontal="center" vertical="center" wrapText="1"/>
    </xf>
    <xf numFmtId="2" fontId="15" fillId="0" borderId="1" xfId="30" applyNumberFormat="1" applyFont="1" applyBorder="1" applyAlignment="1">
      <alignment horizontal="center" vertical="center" wrapText="1"/>
    </xf>
    <xf numFmtId="2" fontId="15" fillId="0" borderId="35" xfId="30" applyNumberFormat="1" applyFont="1" applyBorder="1" applyAlignment="1">
      <alignment horizontal="center" vertical="center" wrapText="1"/>
    </xf>
    <xf numFmtId="2" fontId="16" fillId="7" borderId="17" xfId="30" applyNumberFormat="1" applyFont="1" applyFill="1" applyBorder="1" applyAlignment="1">
      <alignment horizontal="center" vertical="center" wrapText="1"/>
    </xf>
    <xf numFmtId="0" fontId="15" fillId="0" borderId="1" xfId="30" applyFont="1" applyBorder="1" applyAlignment="1">
      <alignment horizontal="center" vertical="center" wrapText="1"/>
    </xf>
    <xf numFmtId="2" fontId="70" fillId="14" borderId="17" xfId="30" applyNumberFormat="1" applyFont="1" applyFill="1" applyBorder="1" applyAlignment="1">
      <alignment horizontal="center" vertical="center" wrapText="1"/>
    </xf>
    <xf numFmtId="0" fontId="15" fillId="0" borderId="35" xfId="30" applyFont="1" applyBorder="1" applyAlignment="1">
      <alignment horizontal="center" vertical="center" wrapText="1"/>
    </xf>
    <xf numFmtId="0" fontId="14" fillId="0" borderId="0" xfId="30" applyFont="1" applyAlignment="1">
      <alignment horizontal="center" vertical="center"/>
    </xf>
    <xf numFmtId="0" fontId="68" fillId="21" borderId="75" xfId="30" applyFont="1" applyFill="1" applyBorder="1" applyAlignment="1">
      <alignment horizontal="center" vertical="center" wrapText="1" readingOrder="1"/>
    </xf>
    <xf numFmtId="0" fontId="15" fillId="0" borderId="54" xfId="30" applyFont="1" applyBorder="1" applyAlignment="1">
      <alignment horizontal="center" vertical="center" wrapText="1"/>
    </xf>
    <xf numFmtId="0" fontId="15" fillId="0" borderId="38" xfId="30" applyFont="1" applyBorder="1" applyAlignment="1">
      <alignment horizontal="center" vertical="center" wrapText="1"/>
    </xf>
    <xf numFmtId="0" fontId="15" fillId="0" borderId="76" xfId="30" applyFont="1" applyBorder="1" applyAlignment="1">
      <alignment horizontal="center" vertical="center" wrapText="1"/>
    </xf>
    <xf numFmtId="2" fontId="16" fillId="7" borderId="77" xfId="30" applyNumberFormat="1" applyFont="1" applyFill="1" applyBorder="1" applyAlignment="1">
      <alignment horizontal="center" vertical="center" wrapText="1"/>
    </xf>
    <xf numFmtId="2" fontId="70" fillId="14" borderId="77" xfId="30" applyNumberFormat="1" applyFont="1" applyFill="1" applyBorder="1" applyAlignment="1">
      <alignment horizontal="center" vertical="center" wrapText="1"/>
    </xf>
    <xf numFmtId="0" fontId="68" fillId="22" borderId="64" xfId="30" applyFont="1" applyFill="1" applyBorder="1" applyAlignment="1">
      <alignment horizontal="center" vertical="center" wrapText="1" readingOrder="1"/>
    </xf>
    <xf numFmtId="2" fontId="15" fillId="0" borderId="55" xfId="30" applyNumberFormat="1" applyFont="1" applyBorder="1" applyAlignment="1">
      <alignment horizontal="center" vertical="center" wrapText="1"/>
    </xf>
    <xf numFmtId="2" fontId="15" fillId="0" borderId="56" xfId="30" applyNumberFormat="1" applyFont="1" applyBorder="1" applyAlignment="1">
      <alignment horizontal="center" vertical="center" wrapText="1"/>
    </xf>
    <xf numFmtId="2" fontId="16" fillId="7" borderId="78" xfId="30" applyNumberFormat="1" applyFont="1" applyFill="1" applyBorder="1" applyAlignment="1">
      <alignment horizontal="center" vertical="center" wrapText="1"/>
    </xf>
    <xf numFmtId="2" fontId="70" fillId="14" borderId="78" xfId="30" applyNumberFormat="1" applyFont="1" applyFill="1" applyBorder="1" applyAlignment="1">
      <alignment horizontal="center" vertical="center" wrapText="1"/>
    </xf>
    <xf numFmtId="2" fontId="8" fillId="0" borderId="0" xfId="30" applyNumberFormat="1" applyAlignment="1">
      <alignment horizontal="center"/>
    </xf>
    <xf numFmtId="0" fontId="68" fillId="23" borderId="79" xfId="30" applyFont="1" applyFill="1" applyBorder="1" applyAlignment="1">
      <alignment horizontal="center" vertical="center" wrapText="1" readingOrder="1"/>
    </xf>
    <xf numFmtId="0" fontId="15" fillId="0" borderId="53" xfId="30" applyFont="1" applyBorder="1" applyAlignment="1">
      <alignment horizontal="center" vertical="center" wrapText="1"/>
    </xf>
    <xf numFmtId="0" fontId="68" fillId="23" borderId="80" xfId="30" applyFont="1" applyFill="1" applyBorder="1" applyAlignment="1">
      <alignment horizontal="center" vertical="center" wrapText="1" readingOrder="1"/>
    </xf>
    <xf numFmtId="0" fontId="15" fillId="0" borderId="81" xfId="30" applyFont="1" applyBorder="1" applyAlignment="1">
      <alignment horizontal="center" vertical="center" wrapText="1"/>
    </xf>
    <xf numFmtId="0" fontId="15" fillId="0" borderId="39" xfId="30" applyFont="1" applyBorder="1" applyAlignment="1">
      <alignment horizontal="center" vertical="center" wrapText="1"/>
    </xf>
    <xf numFmtId="0" fontId="15" fillId="0" borderId="63" xfId="30" applyFont="1" applyBorder="1" applyAlignment="1">
      <alignment horizontal="center" vertical="center" wrapText="1"/>
    </xf>
    <xf numFmtId="0" fontId="68" fillId="24" borderId="74" xfId="30" applyFont="1" applyFill="1" applyBorder="1" applyAlignment="1">
      <alignment horizontal="center" vertical="center" wrapText="1" readingOrder="1"/>
    </xf>
    <xf numFmtId="1" fontId="15" fillId="0" borderId="35" xfId="30" applyNumberFormat="1" applyFont="1" applyBorder="1" applyAlignment="1">
      <alignment horizontal="center" vertical="center" wrapText="1"/>
    </xf>
    <xf numFmtId="0" fontId="68" fillId="25" borderId="75" xfId="30" applyFont="1" applyFill="1" applyBorder="1" applyAlignment="1">
      <alignment horizontal="center" vertical="center" wrapText="1" readingOrder="1"/>
    </xf>
    <xf numFmtId="2" fontId="15" fillId="0" borderId="54" xfId="30" applyNumberFormat="1" applyFont="1" applyBorder="1" applyAlignment="1">
      <alignment horizontal="center" vertical="center" wrapText="1"/>
    </xf>
    <xf numFmtId="2" fontId="15" fillId="0" borderId="38" xfId="30" applyNumberFormat="1" applyFont="1" applyBorder="1" applyAlignment="1">
      <alignment horizontal="center" vertical="center" wrapText="1"/>
    </xf>
    <xf numFmtId="2" fontId="15" fillId="0" borderId="76" xfId="30" applyNumberFormat="1" applyFont="1" applyBorder="1" applyAlignment="1">
      <alignment horizontal="center" vertical="center" wrapText="1"/>
    </xf>
    <xf numFmtId="0" fontId="19" fillId="0" borderId="0" xfId="30" applyFont="1" applyAlignment="1">
      <alignment horizontal="center"/>
    </xf>
    <xf numFmtId="0" fontId="68" fillId="0" borderId="60" xfId="30" applyFont="1" applyBorder="1" applyAlignment="1">
      <alignment horizontal="center" vertical="center" wrapText="1" readingOrder="1"/>
    </xf>
    <xf numFmtId="2" fontId="16" fillId="0" borderId="81" xfId="30" applyNumberFormat="1" applyFont="1" applyBorder="1" applyAlignment="1">
      <alignment horizontal="center" vertical="center" wrapText="1"/>
    </xf>
    <xf numFmtId="2" fontId="16" fillId="0" borderId="4" xfId="30" applyNumberFormat="1" applyFont="1" applyBorder="1" applyAlignment="1">
      <alignment horizontal="center" vertical="center" wrapText="1"/>
    </xf>
    <xf numFmtId="2" fontId="16" fillId="7" borderId="82" xfId="30" applyNumberFormat="1" applyFont="1" applyFill="1" applyBorder="1" applyAlignment="1">
      <alignment horizontal="center" vertical="center" wrapText="1"/>
    </xf>
    <xf numFmtId="2" fontId="71" fillId="14" borderId="82" xfId="30" applyNumberFormat="1" applyFont="1" applyFill="1" applyBorder="1" applyAlignment="1">
      <alignment horizontal="center" vertical="center" wrapText="1"/>
    </xf>
    <xf numFmtId="0" fontId="19" fillId="0" borderId="0" xfId="30" applyFont="1"/>
    <xf numFmtId="0" fontId="68" fillId="0" borderId="32" xfId="30" applyFont="1" applyBorder="1" applyAlignment="1">
      <alignment horizontal="center" vertical="center" wrapText="1" readingOrder="1"/>
    </xf>
    <xf numFmtId="10" fontId="15" fillId="0" borderId="40" xfId="31" applyNumberFormat="1" applyFont="1" applyBorder="1" applyAlignment="1">
      <alignment horizontal="center" vertical="center" wrapText="1"/>
    </xf>
    <xf numFmtId="10" fontId="0" fillId="0" borderId="0" xfId="0" applyNumberFormat="1"/>
    <xf numFmtId="2" fontId="0" fillId="0" borderId="0" xfId="0" applyNumberFormat="1"/>
    <xf numFmtId="0" fontId="67" fillId="0" borderId="37" xfId="30" applyFont="1" applyBorder="1" applyAlignment="1">
      <alignment vertical="center"/>
    </xf>
    <xf numFmtId="0" fontId="67" fillId="0" borderId="0" xfId="30" applyFont="1" applyAlignment="1">
      <alignment vertical="center"/>
    </xf>
    <xf numFmtId="0" fontId="68" fillId="0" borderId="37" xfId="30" applyFont="1" applyBorder="1" applyAlignment="1">
      <alignment wrapText="1" readingOrder="1"/>
    </xf>
    <xf numFmtId="0" fontId="68" fillId="0" borderId="0" xfId="30" applyFont="1" applyAlignment="1">
      <alignment wrapText="1" readingOrder="1"/>
    </xf>
    <xf numFmtId="0" fontId="68" fillId="0" borderId="83" xfId="30" applyFont="1" applyBorder="1" applyAlignment="1">
      <alignment horizontal="center" vertical="center" wrapText="1" readingOrder="1"/>
    </xf>
    <xf numFmtId="0" fontId="69" fillId="0" borderId="9" xfId="30" applyFont="1" applyBorder="1" applyAlignment="1">
      <alignment horizontal="center" vertical="center" wrapText="1" readingOrder="1"/>
    </xf>
    <xf numFmtId="0" fontId="68" fillId="0" borderId="0" xfId="30" applyFont="1" applyAlignment="1">
      <alignment horizontal="center" vertical="center" wrapText="1" readingOrder="1"/>
    </xf>
    <xf numFmtId="0" fontId="69" fillId="0" borderId="0" xfId="30" applyFont="1" applyAlignment="1">
      <alignment horizontal="center" vertical="center" wrapText="1" readingOrder="1"/>
    </xf>
    <xf numFmtId="2" fontId="15" fillId="0" borderId="84" xfId="30" applyNumberFormat="1" applyFont="1" applyBorder="1" applyAlignment="1">
      <alignment horizontal="center" vertical="center" wrapText="1"/>
    </xf>
    <xf numFmtId="2" fontId="70" fillId="14" borderId="85" xfId="30" applyNumberFormat="1" applyFont="1" applyFill="1" applyBorder="1" applyAlignment="1">
      <alignment horizontal="center" vertical="center" wrapText="1"/>
    </xf>
    <xf numFmtId="2" fontId="15" fillId="0" borderId="0" xfId="30" applyNumberFormat="1" applyFont="1" applyAlignment="1">
      <alignment horizontal="center" vertical="center" wrapText="1"/>
    </xf>
    <xf numFmtId="2" fontId="16" fillId="0" borderId="0" xfId="30" applyNumberFormat="1" applyFont="1" applyAlignment="1">
      <alignment horizontal="center" vertical="center" wrapText="1"/>
    </xf>
    <xf numFmtId="2" fontId="15" fillId="0" borderId="86" xfId="30" applyNumberFormat="1" applyFont="1" applyBorder="1" applyAlignment="1">
      <alignment horizontal="center" vertical="center" wrapText="1"/>
    </xf>
    <xf numFmtId="2" fontId="70" fillId="14" borderId="87" xfId="30" applyNumberFormat="1" applyFont="1" applyFill="1" applyBorder="1" applyAlignment="1">
      <alignment horizontal="center" vertical="center" wrapText="1"/>
    </xf>
    <xf numFmtId="2" fontId="15" fillId="0" borderId="88" xfId="30" applyNumberFormat="1" applyFont="1" applyBorder="1" applyAlignment="1">
      <alignment horizontal="center" vertical="center" wrapText="1"/>
    </xf>
    <xf numFmtId="2" fontId="15" fillId="0" borderId="41" xfId="30" applyNumberFormat="1" applyFont="1" applyBorder="1" applyAlignment="1">
      <alignment horizontal="center" vertical="center" wrapText="1"/>
    </xf>
    <xf numFmtId="2" fontId="15" fillId="0" borderId="89" xfId="30" applyNumberFormat="1" applyFont="1" applyBorder="1" applyAlignment="1">
      <alignment horizontal="center" vertical="center" wrapText="1"/>
    </xf>
    <xf numFmtId="2" fontId="70" fillId="14" borderId="90" xfId="30" applyNumberFormat="1" applyFont="1" applyFill="1" applyBorder="1" applyAlignment="1">
      <alignment horizontal="center" vertical="center" wrapText="1"/>
    </xf>
    <xf numFmtId="0" fontId="15" fillId="0" borderId="0" xfId="30" applyFont="1" applyAlignment="1">
      <alignment horizontal="center" vertical="center" wrapText="1"/>
    </xf>
    <xf numFmtId="2" fontId="15" fillId="0" borderId="66" xfId="30" applyNumberFormat="1" applyFont="1" applyBorder="1" applyAlignment="1">
      <alignment horizontal="center" vertical="center" wrapText="1"/>
    </xf>
    <xf numFmtId="2" fontId="15" fillId="0" borderId="91" xfId="30" applyNumberFormat="1" applyFont="1" applyBorder="1" applyAlignment="1">
      <alignment horizontal="center" vertical="center" wrapText="1"/>
    </xf>
    <xf numFmtId="2" fontId="70" fillId="14" borderId="10" xfId="30" applyNumberFormat="1" applyFont="1" applyFill="1" applyBorder="1" applyAlignment="1">
      <alignment horizontal="center" vertical="center" wrapText="1"/>
    </xf>
    <xf numFmtId="2" fontId="15" fillId="0" borderId="81" xfId="30" applyNumberFormat="1" applyFont="1" applyBorder="1" applyAlignment="1">
      <alignment horizontal="center" vertical="center" wrapText="1"/>
    </xf>
    <xf numFmtId="2" fontId="15" fillId="0" borderId="92" xfId="30" applyNumberFormat="1" applyFont="1" applyBorder="1" applyAlignment="1">
      <alignment horizontal="center" vertical="center" wrapText="1"/>
    </xf>
    <xf numFmtId="2" fontId="15" fillId="0" borderId="51" xfId="30" applyNumberFormat="1" applyFont="1" applyBorder="1" applyAlignment="1">
      <alignment horizontal="center" vertical="center" wrapText="1"/>
    </xf>
    <xf numFmtId="2" fontId="15" fillId="0" borderId="93" xfId="30" applyNumberFormat="1" applyFont="1" applyBorder="1" applyAlignment="1">
      <alignment horizontal="center" vertical="center" wrapText="1"/>
    </xf>
    <xf numFmtId="2" fontId="15" fillId="0" borderId="94" xfId="30" applyNumberFormat="1" applyFont="1" applyBorder="1" applyAlignment="1">
      <alignment horizontal="center" vertical="center" wrapText="1"/>
    </xf>
    <xf numFmtId="2" fontId="70" fillId="14" borderId="95" xfId="30" applyNumberFormat="1" applyFont="1" applyFill="1" applyBorder="1" applyAlignment="1">
      <alignment horizontal="center" vertical="center" wrapText="1"/>
    </xf>
    <xf numFmtId="2" fontId="16" fillId="0" borderId="96" xfId="30" applyNumberFormat="1" applyFont="1" applyBorder="1" applyAlignment="1">
      <alignment horizontal="center" vertical="center" wrapText="1"/>
    </xf>
    <xf numFmtId="2" fontId="71" fillId="14" borderId="97" xfId="30" applyNumberFormat="1" applyFont="1" applyFill="1" applyBorder="1" applyAlignment="1">
      <alignment horizontal="center" vertical="center" wrapText="1"/>
    </xf>
    <xf numFmtId="9" fontId="72" fillId="0" borderId="29" xfId="12" applyFont="1" applyBorder="1" applyAlignment="1">
      <alignment horizontal="center" vertical="center" wrapText="1"/>
    </xf>
    <xf numFmtId="9" fontId="72" fillId="0" borderId="30" xfId="12" applyFont="1" applyBorder="1" applyAlignment="1">
      <alignment horizontal="center" vertical="center" wrapText="1"/>
    </xf>
    <xf numFmtId="9" fontId="72" fillId="0" borderId="98" xfId="12" applyFont="1" applyBorder="1" applyAlignment="1">
      <alignment horizontal="center" vertical="center" wrapText="1"/>
    </xf>
    <xf numFmtId="9" fontId="66" fillId="14" borderId="18" xfId="12" applyFont="1" applyFill="1" applyBorder="1" applyAlignment="1">
      <alignment horizontal="center" vertical="center"/>
    </xf>
    <xf numFmtId="10" fontId="15" fillId="0" borderId="0" xfId="31" applyNumberFormat="1" applyFont="1" applyBorder="1" applyAlignment="1">
      <alignment horizontal="center" vertical="center" wrapText="1"/>
    </xf>
    <xf numFmtId="10" fontId="16" fillId="0" borderId="0" xfId="31" applyNumberFormat="1" applyFont="1" applyFill="1" applyBorder="1" applyAlignment="1">
      <alignment horizontal="center" vertical="center" wrapText="1"/>
    </xf>
    <xf numFmtId="10" fontId="0" fillId="0" borderId="0" xfId="12" applyNumberFormat="1" applyFont="1"/>
    <xf numFmtId="10" fontId="15" fillId="0" borderId="99" xfId="31" applyNumberFormat="1" applyFont="1" applyBorder="1" applyAlignment="1">
      <alignment horizontal="center" vertical="center" wrapText="1"/>
    </xf>
    <xf numFmtId="10" fontId="16" fillId="7" borderId="32" xfId="31" applyNumberFormat="1" applyFont="1" applyFill="1" applyBorder="1" applyAlignment="1">
      <alignment horizontal="center" vertical="center" wrapText="1"/>
    </xf>
    <xf numFmtId="2" fontId="15" fillId="0" borderId="61" xfId="30" applyNumberFormat="1" applyFont="1" applyBorder="1" applyAlignment="1">
      <alignment horizontal="center" vertical="center" wrapText="1"/>
    </xf>
    <xf numFmtId="2" fontId="15" fillId="0" borderId="63" xfId="30" applyNumberFormat="1" applyFont="1" applyBorder="1" applyAlignment="1">
      <alignment horizontal="center" vertical="center" wrapText="1"/>
    </xf>
    <xf numFmtId="2" fontId="16" fillId="0" borderId="63" xfId="30" applyNumberFormat="1" applyFont="1" applyBorder="1" applyAlignment="1">
      <alignment horizontal="center" vertical="center" wrapText="1"/>
    </xf>
    <xf numFmtId="10" fontId="8" fillId="14" borderId="32" xfId="30" applyNumberFormat="1" applyFill="1" applyBorder="1" applyAlignment="1">
      <alignment horizontal="center" vertical="center"/>
    </xf>
    <xf numFmtId="11" fontId="23" fillId="0" borderId="0" xfId="6" applyNumberFormat="1" applyFont="1"/>
    <xf numFmtId="0" fontId="23" fillId="0" borderId="0" xfId="6" applyFont="1"/>
    <xf numFmtId="0" fontId="2" fillId="0" borderId="0" xfId="6"/>
    <xf numFmtId="0" fontId="2" fillId="0" borderId="0" xfId="6" applyProtection="1">
      <protection locked="0"/>
    </xf>
    <xf numFmtId="0" fontId="24" fillId="0" borderId="0" xfId="6" applyFont="1" applyAlignment="1">
      <alignment horizontal="left"/>
    </xf>
    <xf numFmtId="1" fontId="15" fillId="0" borderId="0" xfId="6" applyNumberFormat="1" applyFont="1" applyAlignment="1">
      <alignment horizontal="left"/>
    </xf>
    <xf numFmtId="0" fontId="15" fillId="0" borderId="0" xfId="6" applyFont="1" applyAlignment="1">
      <alignment horizontal="left"/>
    </xf>
    <xf numFmtId="180" fontId="15" fillId="0" borderId="0" xfId="6" applyNumberFormat="1" applyFont="1" applyAlignment="1">
      <alignment horizontal="left"/>
    </xf>
    <xf numFmtId="0" fontId="80" fillId="0" borderId="0" xfId="6" applyFont="1" applyAlignment="1">
      <alignment horizontal="left"/>
    </xf>
    <xf numFmtId="0" fontId="81" fillId="0" borderId="0" xfId="6" applyFont="1" applyAlignment="1">
      <alignment horizontal="left"/>
    </xf>
    <xf numFmtId="0" fontId="25" fillId="0" borderId="0" xfId="6" applyFont="1" applyProtection="1">
      <protection locked="0"/>
    </xf>
    <xf numFmtId="0" fontId="25" fillId="0" borderId="0" xfId="6" applyFont="1"/>
    <xf numFmtId="0" fontId="25" fillId="0" borderId="0" xfId="6" applyFont="1" applyAlignment="1">
      <alignment horizontal="center"/>
    </xf>
    <xf numFmtId="0" fontId="25" fillId="0" borderId="0" xfId="6" applyFont="1" applyAlignment="1">
      <alignment horizontal="centerContinuous"/>
    </xf>
    <xf numFmtId="0" fontId="2" fillId="0" borderId="0" xfId="6" applyAlignment="1">
      <alignment horizontal="centerContinuous"/>
    </xf>
    <xf numFmtId="167" fontId="25" fillId="0" borderId="0" xfId="6" applyNumberFormat="1" applyFont="1"/>
    <xf numFmtId="167" fontId="2" fillId="0" borderId="0" xfId="6" applyNumberFormat="1"/>
    <xf numFmtId="2" fontId="25" fillId="0" borderId="0" xfId="6" applyNumberFormat="1" applyFont="1"/>
    <xf numFmtId="9" fontId="25" fillId="0" borderId="0" xfId="5" applyFont="1" applyProtection="1"/>
    <xf numFmtId="0" fontId="3" fillId="0" borderId="0" xfId="6" applyFont="1" applyProtection="1">
      <protection locked="0"/>
    </xf>
    <xf numFmtId="0" fontId="82" fillId="0" borderId="0" xfId="6" applyFont="1" applyProtection="1">
      <protection locked="0"/>
    </xf>
    <xf numFmtId="0" fontId="2" fillId="0" borderId="0" xfId="6" applyAlignment="1" applyProtection="1">
      <alignment horizontal="center"/>
      <protection locked="0"/>
    </xf>
    <xf numFmtId="0" fontId="26" fillId="0" borderId="0" xfId="6" applyFont="1" applyAlignment="1" applyProtection="1">
      <alignment horizontal="center"/>
      <protection locked="0"/>
    </xf>
    <xf numFmtId="166" fontId="27" fillId="0" borderId="0" xfId="6" applyNumberFormat="1" applyFont="1" applyAlignment="1" applyProtection="1">
      <alignment horizontal="center"/>
      <protection locked="0"/>
    </xf>
    <xf numFmtId="2" fontId="2" fillId="0" borderId="0" xfId="6" applyNumberFormat="1" applyAlignment="1" applyProtection="1">
      <alignment horizontal="center"/>
      <protection locked="0"/>
    </xf>
    <xf numFmtId="2" fontId="2" fillId="0" borderId="0" xfId="6" applyNumberFormat="1" applyProtection="1">
      <protection locked="0"/>
    </xf>
    <xf numFmtId="0" fontId="83" fillId="0" borderId="0" xfId="6" applyFont="1"/>
    <xf numFmtId="1" fontId="2" fillId="0" borderId="0" xfId="6" applyNumberFormat="1"/>
    <xf numFmtId="0" fontId="84" fillId="0" borderId="0" xfId="6" applyFont="1" applyProtection="1">
      <protection locked="0"/>
    </xf>
    <xf numFmtId="1" fontId="84" fillId="0" borderId="0" xfId="6" applyNumberFormat="1" applyFont="1"/>
    <xf numFmtId="0" fontId="84" fillId="0" borderId="0" xfId="6" applyFont="1"/>
    <xf numFmtId="166" fontId="84" fillId="0" borderId="0" xfId="6" applyNumberFormat="1" applyFont="1" applyAlignment="1" applyProtection="1">
      <alignment horizontal="center"/>
      <protection locked="0"/>
    </xf>
    <xf numFmtId="0" fontId="84" fillId="0" borderId="0" xfId="6" applyFont="1" applyAlignment="1" applyProtection="1">
      <alignment horizontal="center"/>
      <protection locked="0"/>
    </xf>
    <xf numFmtId="2" fontId="84" fillId="0" borderId="0" xfId="6" applyNumberFormat="1" applyFont="1" applyAlignment="1" applyProtection="1">
      <alignment horizontal="center"/>
      <protection locked="0"/>
    </xf>
    <xf numFmtId="0" fontId="27" fillId="0" borderId="0" xfId="6" applyFont="1" applyAlignment="1" applyProtection="1">
      <alignment horizontal="center"/>
      <protection locked="0"/>
    </xf>
    <xf numFmtId="0" fontId="85" fillId="0" borderId="0" xfId="6" applyFont="1" applyProtection="1">
      <protection locked="0"/>
    </xf>
    <xf numFmtId="169" fontId="2" fillId="0" borderId="0" xfId="6" applyNumberFormat="1" applyAlignment="1" applyProtection="1">
      <alignment horizontal="center"/>
      <protection locked="0"/>
    </xf>
    <xf numFmtId="0" fontId="85" fillId="8" borderId="0" xfId="6" applyFont="1" applyFill="1" applyProtection="1">
      <protection locked="0"/>
    </xf>
    <xf numFmtId="0" fontId="2" fillId="8" borderId="0" xfId="6" applyFill="1" applyProtection="1">
      <protection locked="0"/>
    </xf>
    <xf numFmtId="166" fontId="27" fillId="8" borderId="0" xfId="6" applyNumberFormat="1" applyFont="1" applyFill="1" applyAlignment="1" applyProtection="1">
      <alignment horizontal="center"/>
      <protection locked="0"/>
    </xf>
    <xf numFmtId="169" fontId="2" fillId="8" borderId="0" xfId="6" applyNumberFormat="1" applyFill="1" applyAlignment="1" applyProtection="1">
      <alignment horizontal="center"/>
      <protection locked="0"/>
    </xf>
    <xf numFmtId="2" fontId="2" fillId="8" borderId="0" xfId="6" applyNumberFormat="1" applyFill="1" applyAlignment="1" applyProtection="1">
      <alignment horizontal="center"/>
      <protection locked="0"/>
    </xf>
    <xf numFmtId="0" fontId="2" fillId="0" borderId="0" xfId="6" applyAlignment="1" applyProtection="1">
      <alignment wrapText="1"/>
      <protection locked="0"/>
    </xf>
    <xf numFmtId="10" fontId="2" fillId="0" borderId="0" xfId="6" applyNumberFormat="1" applyProtection="1">
      <protection locked="0"/>
    </xf>
    <xf numFmtId="0" fontId="86" fillId="0" borderId="0" xfId="6" applyFont="1" applyProtection="1">
      <protection locked="0"/>
    </xf>
    <xf numFmtId="0" fontId="34" fillId="0" borderId="0" xfId="6" applyFont="1" applyProtection="1">
      <protection locked="0"/>
    </xf>
    <xf numFmtId="2" fontId="2" fillId="8" borderId="0" xfId="6" applyNumberFormat="1" applyFill="1" applyProtection="1">
      <protection locked="0"/>
    </xf>
    <xf numFmtId="11" fontId="3" fillId="0" borderId="0" xfId="6" applyNumberFormat="1" applyFont="1" applyAlignment="1">
      <alignment horizontal="center"/>
    </xf>
    <xf numFmtId="11" fontId="21" fillId="0" borderId="0" xfId="6" applyNumberFormat="1" applyFont="1" applyAlignment="1">
      <alignment horizontal="right"/>
    </xf>
    <xf numFmtId="11" fontId="87" fillId="0" borderId="0" xfId="6" applyNumberFormat="1" applyFont="1" applyAlignment="1">
      <alignment horizontal="right"/>
    </xf>
    <xf numFmtId="11" fontId="26" fillId="0" borderId="0" xfId="6" applyNumberFormat="1" applyFont="1" applyAlignment="1">
      <alignment horizontal="left"/>
    </xf>
    <xf numFmtId="11" fontId="2" fillId="0" borderId="0" xfId="6" applyNumberFormat="1"/>
    <xf numFmtId="11" fontId="3" fillId="0" borderId="0" xfId="6" applyNumberFormat="1" applyFont="1"/>
    <xf numFmtId="0" fontId="74" fillId="0" borderId="0" xfId="0" applyFont="1"/>
    <xf numFmtId="0" fontId="88" fillId="0" borderId="0" xfId="0" applyFont="1"/>
    <xf numFmtId="0" fontId="7" fillId="0" borderId="1" xfId="3" applyBorder="1" applyAlignment="1">
      <alignment horizontal="left" vertical="center"/>
    </xf>
    <xf numFmtId="0" fontId="89" fillId="0" borderId="0" xfId="0" applyFont="1"/>
    <xf numFmtId="0" fontId="90" fillId="0" borderId="1" xfId="3" applyFont="1" applyBorder="1" applyAlignment="1">
      <alignment horizontal="left" vertical="center"/>
    </xf>
    <xf numFmtId="0" fontId="91" fillId="0" borderId="0" xfId="0" applyFont="1"/>
    <xf numFmtId="0" fontId="7" fillId="0" borderId="1" xfId="3" applyBorder="1"/>
    <xf numFmtId="0" fontId="7" fillId="27" borderId="1" xfId="3" applyFill="1" applyBorder="1"/>
    <xf numFmtId="0" fontId="0" fillId="0" borderId="0" xfId="0" applyAlignment="1">
      <alignment vertical="center"/>
    </xf>
    <xf numFmtId="0" fontId="0" fillId="0" borderId="1" xfId="0" applyBorder="1"/>
    <xf numFmtId="0" fontId="0" fillId="27" borderId="17" xfId="0" applyFill="1" applyBorder="1" applyAlignment="1">
      <alignment vertical="center"/>
    </xf>
    <xf numFmtId="0" fontId="0" fillId="27" borderId="81" xfId="0" applyFill="1" applyBorder="1" applyAlignment="1">
      <alignment vertical="center"/>
    </xf>
    <xf numFmtId="0" fontId="0" fillId="27" borderId="1" xfId="0" applyFill="1" applyBorder="1" applyAlignment="1">
      <alignment vertical="center"/>
    </xf>
    <xf numFmtId="0" fontId="0" fillId="27" borderId="34" xfId="0" applyFill="1" applyBorder="1" applyAlignment="1">
      <alignment vertical="center"/>
    </xf>
    <xf numFmtId="0" fontId="0" fillId="27" borderId="32" xfId="0" applyFill="1" applyBorder="1" applyAlignment="1">
      <alignment vertical="center"/>
    </xf>
    <xf numFmtId="0" fontId="0" fillId="0" borderId="1" xfId="0" applyBorder="1" applyAlignment="1">
      <alignment vertical="center"/>
    </xf>
    <xf numFmtId="0" fontId="93" fillId="0" borderId="0" xfId="0" applyFont="1" applyAlignment="1">
      <alignment vertical="center"/>
    </xf>
    <xf numFmtId="0" fontId="92" fillId="2" borderId="1" xfId="0" applyFont="1" applyFill="1" applyBorder="1" applyAlignment="1">
      <alignment horizontal="left" vertical="center"/>
    </xf>
    <xf numFmtId="0" fontId="92" fillId="2" borderId="35" xfId="0" applyFont="1" applyFill="1" applyBorder="1" applyAlignment="1">
      <alignment horizontal="center" vertical="center"/>
    </xf>
    <xf numFmtId="0" fontId="92" fillId="22" borderId="12" xfId="0" applyFont="1" applyFill="1" applyBorder="1" applyAlignment="1">
      <alignment horizontal="center" vertical="center"/>
    </xf>
    <xf numFmtId="0" fontId="92" fillId="2" borderId="34" xfId="0" applyFont="1" applyFill="1" applyBorder="1" applyAlignment="1">
      <alignment horizontal="center" vertical="center" wrapText="1"/>
    </xf>
    <xf numFmtId="0" fontId="74" fillId="0" borderId="0" xfId="0" applyFont="1" applyAlignment="1">
      <alignment horizontal="center" vertical="center"/>
    </xf>
    <xf numFmtId="0" fontId="92" fillId="2" borderId="1" xfId="0" applyFont="1" applyFill="1" applyBorder="1" applyAlignment="1">
      <alignment horizontal="left" vertical="center" wrapText="1"/>
    </xf>
    <xf numFmtId="0" fontId="94" fillId="0" borderId="0" xfId="11" applyFont="1" applyAlignment="1">
      <alignment vertical="center"/>
    </xf>
    <xf numFmtId="0" fontId="74" fillId="0" borderId="1" xfId="0" applyFont="1" applyBorder="1" applyAlignment="1">
      <alignment horizontal="left" vertical="center"/>
    </xf>
    <xf numFmtId="0" fontId="74" fillId="0" borderId="35" xfId="0" applyFont="1" applyBorder="1" applyAlignment="1">
      <alignment horizontal="center" vertical="center"/>
    </xf>
    <xf numFmtId="0" fontId="74" fillId="0" borderId="17" xfId="0" applyFont="1" applyBorder="1" applyAlignment="1">
      <alignment horizontal="center" vertical="center"/>
    </xf>
    <xf numFmtId="0" fontId="74" fillId="0" borderId="34" xfId="0" applyFont="1" applyBorder="1" applyAlignment="1">
      <alignment horizontal="center" vertical="center"/>
    </xf>
    <xf numFmtId="0" fontId="74" fillId="0" borderId="1" xfId="0" applyFont="1" applyBorder="1" applyAlignment="1">
      <alignment horizontal="center" vertical="center"/>
    </xf>
    <xf numFmtId="0" fontId="0" fillId="0" borderId="1" xfId="0" applyBorder="1" applyAlignment="1">
      <alignment horizontal="left" vertical="center"/>
    </xf>
    <xf numFmtId="0" fontId="0" fillId="0" borderId="34" xfId="0" applyBorder="1" applyAlignment="1">
      <alignment horizontal="left" vertical="center"/>
    </xf>
    <xf numFmtId="0" fontId="0" fillId="27" borderId="1" xfId="0" applyFill="1" applyBorder="1"/>
    <xf numFmtId="0" fontId="74" fillId="0" borderId="32" xfId="0" applyFont="1" applyBorder="1" applyAlignment="1">
      <alignment horizontal="center" vertical="center"/>
    </xf>
    <xf numFmtId="0" fontId="0" fillId="6" borderId="1" xfId="0" applyFill="1" applyBorder="1"/>
    <xf numFmtId="0" fontId="95" fillId="0" borderId="0" xfId="0" applyFont="1" applyAlignment="1">
      <alignment horizontal="left" vertical="center"/>
    </xf>
    <xf numFmtId="0" fontId="95" fillId="0" borderId="0" xfId="0" applyFont="1" applyAlignment="1">
      <alignment horizontal="center" vertical="center"/>
    </xf>
    <xf numFmtId="0" fontId="0" fillId="28" borderId="1" xfId="0" applyFill="1" applyBorder="1"/>
    <xf numFmtId="0" fontId="74" fillId="27" borderId="1" xfId="0" applyFont="1" applyFill="1" applyBorder="1" applyAlignment="1">
      <alignment horizontal="left" vertical="center" wrapText="1"/>
    </xf>
    <xf numFmtId="0" fontId="74" fillId="27" borderId="35" xfId="0" applyFont="1" applyFill="1" applyBorder="1" applyAlignment="1">
      <alignment horizontal="center" vertical="center"/>
    </xf>
    <xf numFmtId="0" fontId="74" fillId="27" borderId="17" xfId="0" applyFont="1" applyFill="1" applyBorder="1" applyAlignment="1">
      <alignment horizontal="center" vertical="center"/>
    </xf>
    <xf numFmtId="0" fontId="18" fillId="27" borderId="1" xfId="0" applyFont="1" applyFill="1" applyBorder="1" applyAlignment="1">
      <alignment horizontal="center" vertical="center"/>
    </xf>
    <xf numFmtId="166" fontId="0" fillId="0" borderId="1" xfId="0" applyNumberFormat="1" applyBorder="1" applyAlignment="1">
      <alignment horizontal="left" vertical="center"/>
    </xf>
    <xf numFmtId="0" fontId="74" fillId="27" borderId="1" xfId="0" applyFont="1" applyFill="1" applyBorder="1" applyAlignment="1">
      <alignment horizontal="center" vertical="center"/>
    </xf>
    <xf numFmtId="0" fontId="74" fillId="27" borderId="32" xfId="0" applyFont="1" applyFill="1" applyBorder="1" applyAlignment="1">
      <alignment horizontal="center" vertical="center"/>
    </xf>
    <xf numFmtId="166" fontId="0" fillId="0" borderId="0" xfId="0" applyNumberFormat="1" applyAlignment="1">
      <alignment horizontal="center" vertical="center"/>
    </xf>
    <xf numFmtId="0" fontId="0" fillId="27" borderId="1"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92" fillId="22" borderId="1" xfId="0" applyFont="1" applyFill="1" applyBorder="1" applyAlignment="1">
      <alignment horizontal="left" vertical="center" wrapText="1"/>
    </xf>
    <xf numFmtId="0" fontId="7" fillId="27" borderId="1" xfId="3" applyFill="1" applyBorder="1" applyAlignment="1">
      <alignment horizontal="left" vertical="center"/>
    </xf>
    <xf numFmtId="166" fontId="0" fillId="27" borderId="1" xfId="0" applyNumberFormat="1" applyFill="1" applyBorder="1" applyAlignment="1">
      <alignment horizontal="left" vertical="center"/>
    </xf>
    <xf numFmtId="166" fontId="74" fillId="6" borderId="1" xfId="0" applyNumberFormat="1" applyFont="1" applyFill="1" applyBorder="1" applyAlignment="1">
      <alignment horizontal="left" vertical="center"/>
    </xf>
    <xf numFmtId="0" fontId="74" fillId="6" borderId="1" xfId="0" applyFont="1" applyFill="1" applyBorder="1" applyAlignment="1">
      <alignment horizontal="left" vertical="center"/>
    </xf>
    <xf numFmtId="166" fontId="0" fillId="6" borderId="1" xfId="0" applyNumberFormat="1" applyFill="1" applyBorder="1" applyAlignment="1">
      <alignment horizontal="left" vertical="center"/>
    </xf>
    <xf numFmtId="166" fontId="7" fillId="0" borderId="1" xfId="3" applyNumberFormat="1" applyBorder="1" applyAlignment="1">
      <alignment horizontal="left" vertical="center"/>
    </xf>
    <xf numFmtId="166" fontId="74" fillId="0" borderId="1" xfId="0" applyNumberFormat="1" applyFont="1" applyBorder="1" applyAlignment="1">
      <alignment horizontal="left" vertical="center"/>
    </xf>
    <xf numFmtId="166" fontId="74" fillId="0" borderId="0" xfId="0" applyNumberFormat="1" applyFont="1" applyAlignment="1">
      <alignment horizontal="left" vertical="center"/>
    </xf>
    <xf numFmtId="166" fontId="7" fillId="6" borderId="1" xfId="3" applyNumberFormat="1" applyFill="1" applyBorder="1" applyAlignment="1">
      <alignment horizontal="left" vertical="center"/>
    </xf>
    <xf numFmtId="166" fontId="74" fillId="4" borderId="1" xfId="0" applyNumberFormat="1" applyFont="1" applyFill="1" applyBorder="1" applyAlignment="1">
      <alignment horizontal="left" vertical="center"/>
    </xf>
    <xf numFmtId="0" fontId="74" fillId="4" borderId="1" xfId="0" applyFont="1" applyFill="1" applyBorder="1" applyAlignment="1">
      <alignment horizontal="left" vertical="center"/>
    </xf>
    <xf numFmtId="166" fontId="0" fillId="4" borderId="1" xfId="0" applyNumberFormat="1" applyFill="1" applyBorder="1" applyAlignment="1">
      <alignment horizontal="left" vertical="center"/>
    </xf>
    <xf numFmtId="2" fontId="74" fillId="0" borderId="1" xfId="0" applyNumberFormat="1" applyFont="1" applyBorder="1" applyAlignment="1">
      <alignment horizontal="left" vertical="center"/>
    </xf>
    <xf numFmtId="2" fontId="7" fillId="0" borderId="1" xfId="3" applyNumberFormat="1" applyBorder="1" applyAlignment="1">
      <alignment horizontal="left" vertical="center"/>
    </xf>
    <xf numFmtId="166" fontId="74" fillId="0" borderId="0" xfId="0" applyNumberFormat="1" applyFont="1"/>
    <xf numFmtId="166" fontId="74" fillId="0" borderId="0" xfId="0" applyNumberFormat="1" applyFont="1" applyAlignment="1">
      <alignment horizontal="left"/>
    </xf>
    <xf numFmtId="0" fontId="96" fillId="0" borderId="0" xfId="0" applyFont="1" applyAlignment="1">
      <alignment vertical="center"/>
    </xf>
    <xf numFmtId="0" fontId="96" fillId="0" borderId="0" xfId="0" applyFont="1" applyAlignment="1">
      <alignment horizontal="left" vertical="center"/>
    </xf>
    <xf numFmtId="169" fontId="0" fillId="0" borderId="17" xfId="0" applyNumberFormat="1" applyBorder="1" applyAlignment="1">
      <alignment horizontal="center" vertical="center"/>
    </xf>
    <xf numFmtId="181" fontId="0" fillId="0" borderId="102" xfId="0" applyNumberFormat="1" applyBorder="1" applyAlignment="1">
      <alignment horizontal="center" vertical="center"/>
    </xf>
    <xf numFmtId="169" fontId="0" fillId="0" borderId="1" xfId="0" applyNumberFormat="1" applyBorder="1" applyAlignment="1">
      <alignment horizontal="center" vertical="center"/>
    </xf>
    <xf numFmtId="0" fontId="0" fillId="0" borderId="35" xfId="0" applyBorder="1" applyAlignment="1">
      <alignment horizontal="center" vertical="center"/>
    </xf>
    <xf numFmtId="2" fontId="0" fillId="27" borderId="17" xfId="0" applyNumberFormat="1" applyFill="1" applyBorder="1" applyAlignment="1">
      <alignment horizontal="center" vertical="center"/>
    </xf>
    <xf numFmtId="181" fontId="0" fillId="29" borderId="102" xfId="0" applyNumberFormat="1" applyFill="1" applyBorder="1" applyAlignment="1">
      <alignment horizontal="center" vertical="center"/>
    </xf>
    <xf numFmtId="0" fontId="0" fillId="27" borderId="1" xfId="0" applyFill="1" applyBorder="1" applyAlignment="1">
      <alignment horizontal="center" vertical="center"/>
    </xf>
    <xf numFmtId="2" fontId="0" fillId="0" borderId="17" xfId="0" applyNumberFormat="1" applyBorder="1" applyAlignment="1">
      <alignment horizontal="center" vertical="center"/>
    </xf>
    <xf numFmtId="2" fontId="0" fillId="0" borderId="1" xfId="0" applyNumberFormat="1" applyBorder="1" applyAlignment="1">
      <alignment horizontal="center" vertical="center"/>
    </xf>
    <xf numFmtId="166" fontId="0" fillId="6" borderId="17" xfId="0" applyNumberFormat="1" applyFill="1" applyBorder="1" applyAlignment="1">
      <alignment horizontal="center" vertical="center"/>
    </xf>
    <xf numFmtId="181" fontId="0" fillId="6" borderId="102" xfId="0" applyNumberFormat="1" applyFill="1" applyBorder="1" applyAlignment="1">
      <alignment horizontal="center" vertical="center"/>
    </xf>
    <xf numFmtId="166" fontId="0" fillId="6" borderId="1" xfId="0" applyNumberFormat="1" applyFill="1" applyBorder="1" applyAlignment="1">
      <alignment horizontal="center" vertical="center"/>
    </xf>
    <xf numFmtId="166" fontId="0" fillId="0" borderId="1" xfId="0" applyNumberFormat="1" applyBorder="1" applyAlignment="1">
      <alignment horizontal="center" vertical="center"/>
    </xf>
    <xf numFmtId="166" fontId="0" fillId="6" borderId="32" xfId="0" applyNumberFormat="1" applyFill="1" applyBorder="1" applyAlignment="1">
      <alignment horizontal="center" vertical="center"/>
    </xf>
    <xf numFmtId="166" fontId="74" fillId="0" borderId="0" xfId="0" applyNumberFormat="1" applyFont="1" applyAlignment="1">
      <alignment horizontal="center" vertical="center"/>
    </xf>
    <xf numFmtId="166" fontId="91" fillId="0" borderId="0" xfId="0" applyNumberFormat="1" applyFont="1" applyAlignment="1">
      <alignment vertical="center"/>
    </xf>
    <xf numFmtId="166" fontId="74" fillId="0" borderId="0" xfId="0" applyNumberFormat="1" applyFont="1" applyAlignment="1">
      <alignment vertical="center"/>
    </xf>
    <xf numFmtId="0" fontId="0" fillId="0" borderId="17" xfId="0" applyBorder="1" applyAlignment="1">
      <alignment horizontal="center" vertical="center"/>
    </xf>
    <xf numFmtId="166" fontId="0" fillId="0" borderId="34" xfId="0" applyNumberFormat="1" applyBorder="1" applyAlignment="1">
      <alignment horizontal="center" vertical="center"/>
    </xf>
    <xf numFmtId="0" fontId="0" fillId="27" borderId="17" xfId="0" applyFill="1" applyBorder="1" applyAlignment="1">
      <alignment horizontal="center" vertical="center"/>
    </xf>
    <xf numFmtId="0" fontId="0" fillId="27" borderId="34" xfId="0" applyFill="1" applyBorder="1" applyAlignment="1">
      <alignment horizontal="center" vertical="center"/>
    </xf>
    <xf numFmtId="2" fontId="0" fillId="27" borderId="1" xfId="0" applyNumberFormat="1" applyFill="1" applyBorder="1" applyAlignment="1">
      <alignment horizontal="center" vertical="center"/>
    </xf>
    <xf numFmtId="166" fontId="0" fillId="6" borderId="34" xfId="0" applyNumberFormat="1" applyFill="1" applyBorder="1" applyAlignment="1">
      <alignment horizontal="center" vertical="center"/>
    </xf>
    <xf numFmtId="2" fontId="0" fillId="6" borderId="1" xfId="0" applyNumberFormat="1" applyFill="1" applyBorder="1" applyAlignment="1">
      <alignment horizontal="center" vertical="center"/>
    </xf>
    <xf numFmtId="0" fontId="0" fillId="4" borderId="1" xfId="0" applyFill="1" applyBorder="1" applyAlignment="1">
      <alignment horizontal="left" vertical="center"/>
    </xf>
    <xf numFmtId="0" fontId="0" fillId="4" borderId="35" xfId="0" applyFill="1" applyBorder="1" applyAlignment="1">
      <alignment vertical="center"/>
    </xf>
    <xf numFmtId="0" fontId="0" fillId="4" borderId="17" xfId="0" applyFill="1" applyBorder="1" applyAlignment="1">
      <alignment vertical="center"/>
    </xf>
    <xf numFmtId="0" fontId="0" fillId="4" borderId="34" xfId="0" applyFill="1" applyBorder="1" applyAlignment="1">
      <alignment vertical="center"/>
    </xf>
    <xf numFmtId="0" fontId="0" fillId="4" borderId="1" xfId="0" applyFill="1" applyBorder="1" applyAlignment="1">
      <alignment vertical="center"/>
    </xf>
    <xf numFmtId="0" fontId="0" fillId="3" borderId="1" xfId="0" applyFill="1" applyBorder="1" applyAlignment="1">
      <alignment horizontal="left" vertical="center"/>
    </xf>
    <xf numFmtId="0" fontId="95" fillId="3" borderId="35" xfId="0" applyFont="1" applyFill="1" applyBorder="1" applyAlignment="1">
      <alignment horizontal="center" vertical="center"/>
    </xf>
    <xf numFmtId="2" fontId="0" fillId="3" borderId="17" xfId="0" applyNumberFormat="1" applyFill="1" applyBorder="1" applyAlignment="1">
      <alignment horizontal="center" vertical="center"/>
    </xf>
    <xf numFmtId="2" fontId="0" fillId="3" borderId="34" xfId="0" applyNumberFormat="1" applyFill="1" applyBorder="1" applyAlignment="1">
      <alignment horizontal="center" vertical="center"/>
    </xf>
    <xf numFmtId="2" fontId="0" fillId="3" borderId="1" xfId="0" applyNumberFormat="1" applyFill="1" applyBorder="1" applyAlignment="1">
      <alignment horizontal="center" vertical="center"/>
    </xf>
    <xf numFmtId="2" fontId="0" fillId="0" borderId="34" xfId="0" applyNumberFormat="1" applyBorder="1" applyAlignment="1">
      <alignment horizontal="center" vertical="center"/>
    </xf>
    <xf numFmtId="2" fontId="0" fillId="6" borderId="17" xfId="0" applyNumberFormat="1" applyFill="1" applyBorder="1" applyAlignment="1">
      <alignment horizontal="center" vertical="center"/>
    </xf>
    <xf numFmtId="2" fontId="0" fillId="6" borderId="34" xfId="0" applyNumberFormat="1" applyFill="1" applyBorder="1" applyAlignment="1">
      <alignment horizontal="center" vertical="center"/>
    </xf>
    <xf numFmtId="0" fontId="18" fillId="0" borderId="0" xfId="0" applyFont="1" applyAlignment="1">
      <alignment vertical="center"/>
    </xf>
    <xf numFmtId="2" fontId="97" fillId="6" borderId="1" xfId="0" applyNumberFormat="1" applyFont="1" applyFill="1" applyBorder="1" applyAlignment="1">
      <alignment horizontal="left" vertical="center"/>
    </xf>
    <xf numFmtId="2" fontId="73" fillId="6" borderId="35" xfId="0" applyNumberFormat="1" applyFont="1" applyFill="1" applyBorder="1" applyAlignment="1">
      <alignment horizontal="center" vertical="center"/>
    </xf>
    <xf numFmtId="2" fontId="97" fillId="6" borderId="32" xfId="0" applyNumberFormat="1" applyFont="1" applyFill="1" applyBorder="1" applyAlignment="1">
      <alignment horizontal="center" vertical="center"/>
    </xf>
    <xf numFmtId="2" fontId="97" fillId="6" borderId="1" xfId="0" applyNumberFormat="1" applyFont="1" applyFill="1" applyBorder="1" applyAlignment="1">
      <alignment horizontal="center" vertical="center"/>
    </xf>
    <xf numFmtId="0" fontId="0" fillId="0" borderId="0" xfId="0" applyAlignment="1">
      <alignment horizontal="center"/>
    </xf>
    <xf numFmtId="166" fontId="91" fillId="0" borderId="0" xfId="0" applyNumberFormat="1" applyFont="1"/>
    <xf numFmtId="0" fontId="96"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vertical="center"/>
    </xf>
    <xf numFmtId="2" fontId="18" fillId="27" borderId="17" xfId="0" applyNumberFormat="1" applyFont="1" applyFill="1" applyBorder="1" applyAlignment="1">
      <alignment horizontal="center" vertical="center"/>
    </xf>
    <xf numFmtId="0" fontId="74" fillId="27" borderId="13" xfId="0" applyFont="1" applyFill="1" applyBorder="1" applyAlignment="1">
      <alignment horizontal="center" vertical="center"/>
    </xf>
    <xf numFmtId="0" fontId="93" fillId="0" borderId="0" xfId="0" applyFont="1" applyAlignment="1">
      <alignment horizontal="center" vertical="center"/>
    </xf>
    <xf numFmtId="0" fontId="100" fillId="0" borderId="0" xfId="0" applyFont="1" applyAlignment="1">
      <alignment vertical="center"/>
    </xf>
    <xf numFmtId="0" fontId="101" fillId="0" borderId="0" xfId="0" applyFont="1" applyAlignment="1">
      <alignment horizontal="center" vertical="center"/>
    </xf>
    <xf numFmtId="0" fontId="102" fillId="0" borderId="0" xfId="0" applyFont="1" applyAlignment="1">
      <alignment horizontal="center" vertical="center"/>
    </xf>
    <xf numFmtId="0" fontId="74" fillId="0" borderId="0" xfId="0" applyFont="1" applyAlignment="1">
      <alignment vertical="center"/>
    </xf>
    <xf numFmtId="0" fontId="91" fillId="0" borderId="0" xfId="0" applyFont="1" applyAlignment="1">
      <alignment vertical="center"/>
    </xf>
    <xf numFmtId="0" fontId="19" fillId="0" borderId="0" xfId="0" applyFont="1" applyAlignment="1">
      <alignment horizontal="center" vertical="center"/>
    </xf>
    <xf numFmtId="0" fontId="74" fillId="4" borderId="1" xfId="0" applyFont="1" applyFill="1" applyBorder="1" applyAlignment="1">
      <alignment vertical="center"/>
    </xf>
    <xf numFmtId="0" fontId="95" fillId="4" borderId="35" xfId="0" applyFont="1" applyFill="1" applyBorder="1" applyAlignment="1">
      <alignment vertical="center"/>
    </xf>
    <xf numFmtId="0" fontId="74" fillId="4" borderId="17" xfId="0" applyFont="1" applyFill="1" applyBorder="1" applyAlignment="1">
      <alignment vertical="center"/>
    </xf>
    <xf numFmtId="0" fontId="74" fillId="4" borderId="34" xfId="0" applyFont="1" applyFill="1" applyBorder="1" applyAlignment="1">
      <alignment vertical="center"/>
    </xf>
    <xf numFmtId="0" fontId="19" fillId="4" borderId="1" xfId="0" applyFont="1" applyFill="1" applyBorder="1"/>
    <xf numFmtId="166" fontId="74" fillId="6" borderId="102" xfId="0" applyNumberFormat="1" applyFont="1" applyFill="1" applyBorder="1" applyAlignment="1">
      <alignment horizontal="center" vertical="center"/>
    </xf>
    <xf numFmtId="0" fontId="19" fillId="6" borderId="1" xfId="0" applyFont="1" applyFill="1" applyBorder="1"/>
    <xf numFmtId="2" fontId="74" fillId="0" borderId="17" xfId="0" applyNumberFormat="1" applyFont="1" applyBorder="1" applyAlignment="1">
      <alignment horizontal="center" vertical="center"/>
    </xf>
    <xf numFmtId="2" fontId="74" fillId="0" borderId="102" xfId="0" applyNumberFormat="1" applyFont="1" applyBorder="1" applyAlignment="1">
      <alignment horizontal="center" vertical="center"/>
    </xf>
    <xf numFmtId="0" fontId="19" fillId="0" borderId="1" xfId="0" applyFont="1" applyBorder="1"/>
    <xf numFmtId="0" fontId="74" fillId="3" borderId="1" xfId="0" applyFont="1" applyFill="1" applyBorder="1" applyAlignment="1">
      <alignment vertical="center"/>
    </xf>
    <xf numFmtId="0" fontId="74" fillId="3" borderId="35" xfId="0" applyFont="1" applyFill="1" applyBorder="1" applyAlignment="1">
      <alignment vertical="center"/>
    </xf>
    <xf numFmtId="0" fontId="74" fillId="3" borderId="17" xfId="0" applyFont="1" applyFill="1" applyBorder="1" applyAlignment="1">
      <alignment vertical="center"/>
    </xf>
    <xf numFmtId="0" fontId="74" fillId="3" borderId="34" xfId="0" applyFont="1" applyFill="1" applyBorder="1" applyAlignment="1">
      <alignment vertical="center"/>
    </xf>
    <xf numFmtId="0" fontId="0" fillId="3" borderId="1" xfId="0" applyFill="1" applyBorder="1" applyAlignment="1">
      <alignment vertical="center"/>
    </xf>
    <xf numFmtId="0" fontId="74" fillId="0" borderId="1" xfId="0" applyFont="1" applyBorder="1" applyAlignment="1">
      <alignment vertical="center"/>
    </xf>
    <xf numFmtId="2" fontId="74" fillId="6" borderId="17" xfId="0" applyNumberFormat="1" applyFont="1" applyFill="1" applyBorder="1" applyAlignment="1">
      <alignment horizontal="center" vertical="center"/>
    </xf>
    <xf numFmtId="0" fontId="103" fillId="6" borderId="102" xfId="0" applyFont="1" applyFill="1" applyBorder="1" applyAlignment="1">
      <alignment vertical="center"/>
    </xf>
    <xf numFmtId="0" fontId="103" fillId="0" borderId="0" xfId="0" applyFont="1" applyAlignment="1">
      <alignment horizontal="center" vertical="center"/>
    </xf>
    <xf numFmtId="0" fontId="103" fillId="6" borderId="1" xfId="0" applyFont="1" applyFill="1" applyBorder="1"/>
    <xf numFmtId="0" fontId="104" fillId="0" borderId="0" xfId="0" applyFont="1" applyAlignment="1">
      <alignment horizontal="center" vertical="center"/>
    </xf>
    <xf numFmtId="166" fontId="91" fillId="0" borderId="1" xfId="0" applyNumberFormat="1" applyFont="1" applyBorder="1" applyAlignment="1">
      <alignment horizontal="left" vertical="center"/>
    </xf>
    <xf numFmtId="0" fontId="91" fillId="0" borderId="1" xfId="0" applyFont="1" applyBorder="1" applyAlignment="1">
      <alignment horizontal="left" vertical="center"/>
    </xf>
    <xf numFmtId="0" fontId="0" fillId="0" borderId="0" xfId="0" applyAlignment="1">
      <alignment horizontal="right" vertical="center"/>
    </xf>
    <xf numFmtId="170" fontId="0" fillId="0" borderId="0" xfId="12" applyNumberFormat="1" applyFont="1" applyAlignment="1">
      <alignment horizontal="right" vertical="center"/>
    </xf>
    <xf numFmtId="2" fontId="91" fillId="0" borderId="1" xfId="0" applyNumberFormat="1" applyFont="1" applyBorder="1" applyAlignment="1">
      <alignment horizontal="left"/>
    </xf>
    <xf numFmtId="0" fontId="74" fillId="4" borderId="1" xfId="0" applyFont="1" applyFill="1" applyBorder="1" applyAlignment="1">
      <alignment vertical="center" wrapText="1"/>
    </xf>
    <xf numFmtId="0" fontId="95" fillId="4" borderId="35" xfId="0" applyFont="1" applyFill="1" applyBorder="1" applyAlignment="1">
      <alignment vertical="center" wrapText="1"/>
    </xf>
    <xf numFmtId="0" fontId="74" fillId="4" borderId="17" xfId="0" applyFont="1" applyFill="1" applyBorder="1" applyAlignment="1">
      <alignment vertical="center" wrapText="1"/>
    </xf>
    <xf numFmtId="0" fontId="74" fillId="4" borderId="34" xfId="0" applyFont="1" applyFill="1" applyBorder="1" applyAlignment="1">
      <alignment vertical="center" wrapText="1"/>
    </xf>
    <xf numFmtId="0" fontId="77" fillId="4" borderId="1" xfId="0" applyFont="1" applyFill="1" applyBorder="1"/>
    <xf numFmtId="0" fontId="105" fillId="0" borderId="1" xfId="0" applyFont="1" applyBorder="1"/>
    <xf numFmtId="0" fontId="74" fillId="6" borderId="34" xfId="0" applyFont="1" applyFill="1" applyBorder="1" applyAlignment="1">
      <alignment horizontal="center" vertical="center"/>
    </xf>
    <xf numFmtId="0" fontId="105" fillId="6" borderId="1" xfId="0" applyFont="1" applyFill="1" applyBorder="1"/>
    <xf numFmtId="0" fontId="74" fillId="27" borderId="34" xfId="0" applyFont="1" applyFill="1" applyBorder="1" applyAlignment="1">
      <alignment horizontal="center" vertical="center"/>
    </xf>
    <xf numFmtId="0" fontId="106" fillId="0" borderId="0" xfId="0" applyFont="1" applyAlignment="1">
      <alignment vertical="center"/>
    </xf>
    <xf numFmtId="0" fontId="89" fillId="0" borderId="0" xfId="0" applyFont="1" applyAlignment="1">
      <alignment vertical="center"/>
    </xf>
    <xf numFmtId="0" fontId="105" fillId="0" borderId="0" xfId="0" applyFont="1"/>
    <xf numFmtId="2" fontId="74" fillId="0" borderId="34" xfId="0" applyNumberFormat="1" applyFont="1" applyBorder="1" applyAlignment="1">
      <alignment horizontal="center" vertical="center"/>
    </xf>
    <xf numFmtId="2" fontId="74" fillId="6" borderId="34" xfId="0" applyNumberFormat="1" applyFont="1" applyFill="1" applyBorder="1" applyAlignment="1">
      <alignment horizontal="center" vertical="center"/>
    </xf>
    <xf numFmtId="0" fontId="7" fillId="6" borderId="1" xfId="3" applyFill="1" applyBorder="1"/>
    <xf numFmtId="0" fontId="107" fillId="27" borderId="1" xfId="0" applyFont="1" applyFill="1" applyBorder="1" applyAlignment="1">
      <alignment vertical="center"/>
    </xf>
    <xf numFmtId="2" fontId="74" fillId="27" borderId="17" xfId="0" applyNumberFormat="1" applyFont="1" applyFill="1" applyBorder="1" applyAlignment="1">
      <alignment horizontal="center" vertical="center"/>
    </xf>
    <xf numFmtId="2" fontId="74" fillId="27" borderId="34" xfId="0" applyNumberFormat="1" applyFont="1" applyFill="1" applyBorder="1" applyAlignment="1">
      <alignment horizontal="center" vertical="center"/>
    </xf>
    <xf numFmtId="0" fontId="0" fillId="6" borderId="1" xfId="0" applyFill="1" applyBorder="1" applyAlignment="1">
      <alignment horizontal="left" vertical="center"/>
    </xf>
    <xf numFmtId="0" fontId="74" fillId="6" borderId="32" xfId="0" applyFont="1" applyFill="1" applyBorder="1" applyAlignment="1">
      <alignment horizontal="center" vertical="center"/>
    </xf>
    <xf numFmtId="0" fontId="93" fillId="6" borderId="1" xfId="0" applyFont="1" applyFill="1" applyBorder="1" applyAlignment="1">
      <alignment horizontal="center" vertical="center"/>
    </xf>
    <xf numFmtId="0" fontId="19" fillId="4" borderId="35" xfId="0" applyFont="1" applyFill="1" applyBorder="1" applyAlignment="1">
      <alignment vertical="center"/>
    </xf>
    <xf numFmtId="0" fontId="19" fillId="4" borderId="17" xfId="0" applyFont="1" applyFill="1" applyBorder="1" applyAlignment="1">
      <alignment vertical="center"/>
    </xf>
    <xf numFmtId="0" fontId="19" fillId="4" borderId="34" xfId="0" applyFont="1" applyFill="1" applyBorder="1" applyAlignment="1">
      <alignment vertical="center"/>
    </xf>
    <xf numFmtId="0" fontId="77" fillId="4" borderId="1" xfId="0" applyFont="1" applyFill="1" applyBorder="1" applyAlignment="1">
      <alignment vertical="center"/>
    </xf>
    <xf numFmtId="2" fontId="74" fillId="0" borderId="1" xfId="0" applyNumberFormat="1" applyFont="1" applyBorder="1" applyAlignment="1">
      <alignment horizontal="center" vertical="center" wrapText="1"/>
    </xf>
    <xf numFmtId="0" fontId="105" fillId="0" borderId="1" xfId="0" applyFont="1" applyBorder="1" applyAlignment="1">
      <alignment vertical="center"/>
    </xf>
    <xf numFmtId="2" fontId="74" fillId="6" borderId="1" xfId="0" applyNumberFormat="1" applyFont="1" applyFill="1" applyBorder="1" applyAlignment="1">
      <alignment horizontal="center" vertical="center" wrapText="1"/>
    </xf>
    <xf numFmtId="0" fontId="105" fillId="6" borderId="1" xfId="0" applyFont="1" applyFill="1" applyBorder="1" applyAlignment="1">
      <alignment vertical="center"/>
    </xf>
    <xf numFmtId="0" fontId="74" fillId="0" borderId="1" xfId="0" applyFont="1" applyBorder="1" applyAlignment="1">
      <alignment horizontal="center" vertical="center" wrapText="1"/>
    </xf>
    <xf numFmtId="2" fontId="74" fillId="0" borderId="32" xfId="0" applyNumberFormat="1" applyFont="1" applyBorder="1" applyAlignment="1">
      <alignment horizontal="center" vertical="center"/>
    </xf>
    <xf numFmtId="0" fontId="108" fillId="0" borderId="1" xfId="0" applyFont="1" applyBorder="1" applyAlignment="1">
      <alignment horizontal="center" vertical="center"/>
    </xf>
    <xf numFmtId="0" fontId="100" fillId="0" borderId="0" xfId="0" applyFont="1" applyAlignment="1">
      <alignment horizontal="left" vertical="center"/>
    </xf>
    <xf numFmtId="0" fontId="109" fillId="0" borderId="0" xfId="0" applyFont="1" applyAlignment="1">
      <alignment vertical="center"/>
    </xf>
    <xf numFmtId="0" fontId="110" fillId="0" borderId="0" xfId="0" applyFont="1" applyAlignment="1">
      <alignment vertical="center" wrapText="1"/>
    </xf>
    <xf numFmtId="0" fontId="91" fillId="4" borderId="1" xfId="0" applyFont="1" applyFill="1" applyBorder="1" applyAlignment="1">
      <alignment vertical="center" wrapText="1"/>
    </xf>
    <xf numFmtId="0" fontId="19" fillId="4" borderId="1" xfId="0" applyFont="1" applyFill="1" applyBorder="1" applyAlignment="1">
      <alignment vertical="center"/>
    </xf>
    <xf numFmtId="2" fontId="91" fillId="0" borderId="1" xfId="0" applyNumberFormat="1" applyFont="1" applyBorder="1" applyAlignment="1">
      <alignment horizontal="center" vertical="center" wrapText="1"/>
    </xf>
    <xf numFmtId="2" fontId="91" fillId="6" borderId="1" xfId="0" applyNumberFormat="1" applyFont="1" applyFill="1" applyBorder="1" applyAlignment="1">
      <alignment horizontal="center" vertical="center" wrapText="1"/>
    </xf>
    <xf numFmtId="0" fontId="107" fillId="0" borderId="1" xfId="0" applyFont="1" applyBorder="1" applyAlignment="1">
      <alignment horizontal="left" vertical="center"/>
    </xf>
    <xf numFmtId="0" fontId="0" fillId="0" borderId="34" xfId="0" applyBorder="1" applyAlignment="1">
      <alignment horizontal="center" vertical="center"/>
    </xf>
    <xf numFmtId="0" fontId="91" fillId="27" borderId="1" xfId="0" applyFont="1" applyFill="1" applyBorder="1" applyAlignment="1">
      <alignment horizontal="center" vertical="center" wrapText="1"/>
    </xf>
    <xf numFmtId="0" fontId="105" fillId="27" borderId="1" xfId="0" applyFont="1" applyFill="1" applyBorder="1" applyAlignment="1">
      <alignment vertical="center"/>
    </xf>
    <xf numFmtId="2" fontId="0" fillId="6" borderId="32" xfId="0" applyNumberFormat="1" applyFill="1" applyBorder="1" applyAlignment="1">
      <alignment horizontal="center" vertical="center"/>
    </xf>
    <xf numFmtId="2" fontId="0" fillId="27" borderId="34" xfId="0" applyNumberFormat="1" applyFill="1" applyBorder="1" applyAlignment="1">
      <alignment horizontal="center" vertical="center"/>
    </xf>
    <xf numFmtId="0" fontId="0" fillId="27" borderId="32" xfId="0" applyFill="1" applyBorder="1" applyAlignment="1">
      <alignment horizontal="center" vertical="center"/>
    </xf>
    <xf numFmtId="0" fontId="106" fillId="0" borderId="0" xfId="0" applyFont="1"/>
    <xf numFmtId="0" fontId="94" fillId="0" borderId="0" xfId="11" applyFont="1"/>
    <xf numFmtId="0" fontId="92" fillId="0" borderId="0" xfId="0" applyFont="1" applyAlignment="1">
      <alignment horizontal="center" wrapText="1"/>
    </xf>
    <xf numFmtId="0" fontId="111" fillId="27" borderId="1" xfId="0" applyFont="1" applyFill="1" applyBorder="1" applyAlignment="1">
      <alignment horizontal="left" vertical="center"/>
    </xf>
    <xf numFmtId="0" fontId="0" fillId="27" borderId="35" xfId="0" applyFill="1" applyBorder="1" applyAlignment="1">
      <alignment horizontal="center" vertical="center"/>
    </xf>
    <xf numFmtId="0" fontId="7" fillId="0" borderId="0" xfId="3"/>
    <xf numFmtId="0" fontId="19" fillId="0" borderId="0" xfId="0" applyFont="1"/>
    <xf numFmtId="0" fontId="100" fillId="0" borderId="0" xfId="0" applyFont="1"/>
    <xf numFmtId="0" fontId="111" fillId="0" borderId="1" xfId="0" applyFont="1" applyBorder="1" applyAlignment="1">
      <alignment horizontal="left" vertical="center"/>
    </xf>
    <xf numFmtId="0" fontId="0" fillId="0" borderId="17" xfId="0" applyBorder="1"/>
    <xf numFmtId="0" fontId="93" fillId="0" borderId="0" xfId="0" applyFont="1" applyAlignment="1">
      <alignment horizontal="left" vertical="center"/>
    </xf>
    <xf numFmtId="0" fontId="0" fillId="3" borderId="35" xfId="0" applyFill="1" applyBorder="1"/>
    <xf numFmtId="0" fontId="0" fillId="3" borderId="17" xfId="0" applyFill="1" applyBorder="1" applyAlignment="1">
      <alignment horizontal="center"/>
    </xf>
    <xf numFmtId="0" fontId="0" fillId="3" borderId="34" xfId="0" applyFill="1" applyBorder="1" applyAlignment="1">
      <alignment horizontal="center"/>
    </xf>
    <xf numFmtId="0" fontId="0" fillId="3" borderId="1" xfId="0" applyFill="1" applyBorder="1"/>
    <xf numFmtId="0" fontId="74" fillId="0" borderId="0" xfId="11" applyFont="1" applyAlignment="1">
      <alignment vertical="center"/>
    </xf>
    <xf numFmtId="2" fontId="74" fillId="0" borderId="35" xfId="0" applyNumberFormat="1" applyFont="1" applyBorder="1" applyAlignment="1">
      <alignment horizontal="center"/>
    </xf>
    <xf numFmtId="2" fontId="74" fillId="5" borderId="17" xfId="0" applyNumberFormat="1" applyFont="1" applyFill="1" applyBorder="1" applyAlignment="1" applyProtection="1">
      <alignment horizontal="center"/>
      <protection locked="0"/>
    </xf>
    <xf numFmtId="166" fontId="74" fillId="0" borderId="1" xfId="0" applyNumberFormat="1" applyFont="1" applyBorder="1"/>
    <xf numFmtId="0" fontId="74" fillId="0" borderId="1" xfId="0" applyFont="1" applyBorder="1"/>
    <xf numFmtId="2" fontId="95" fillId="0" borderId="1" xfId="0" applyNumberFormat="1" applyFont="1" applyBorder="1" applyAlignment="1">
      <alignment horizontal="center"/>
    </xf>
    <xf numFmtId="2" fontId="95" fillId="0" borderId="0" xfId="0" applyNumberFormat="1" applyFont="1" applyAlignment="1">
      <alignment horizontal="center"/>
    </xf>
    <xf numFmtId="2" fontId="74" fillId="5" borderId="17" xfId="0" applyNumberFormat="1" applyFont="1" applyFill="1" applyBorder="1" applyProtection="1">
      <protection locked="0"/>
    </xf>
    <xf numFmtId="2" fontId="74" fillId="0" borderId="1" xfId="0" applyNumberFormat="1" applyFont="1" applyBorder="1" applyAlignment="1">
      <alignment horizontal="center"/>
    </xf>
    <xf numFmtId="2" fontId="74" fillId="0" borderId="0" xfId="0" applyNumberFormat="1" applyFont="1" applyAlignment="1">
      <alignment horizontal="center"/>
    </xf>
    <xf numFmtId="2" fontId="74" fillId="3" borderId="35" xfId="0" applyNumberFormat="1" applyFont="1" applyFill="1" applyBorder="1"/>
    <xf numFmtId="2" fontId="74" fillId="3" borderId="17" xfId="0" applyNumberFormat="1" applyFont="1" applyFill="1" applyBorder="1"/>
    <xf numFmtId="2" fontId="74" fillId="0" borderId="17" xfId="0" applyNumberFormat="1" applyFont="1" applyBorder="1" applyAlignment="1">
      <alignment horizontal="center"/>
    </xf>
    <xf numFmtId="2" fontId="74" fillId="0" borderId="32" xfId="0" applyNumberFormat="1" applyFont="1" applyBorder="1" applyAlignment="1">
      <alignment horizontal="center"/>
    </xf>
    <xf numFmtId="0" fontId="19" fillId="3" borderId="35" xfId="0" applyFont="1" applyFill="1" applyBorder="1"/>
    <xf numFmtId="0" fontId="19" fillId="3" borderId="17" xfId="0" applyFont="1" applyFill="1" applyBorder="1"/>
    <xf numFmtId="0" fontId="19" fillId="3" borderId="34" xfId="0" applyFont="1" applyFill="1" applyBorder="1"/>
    <xf numFmtId="0" fontId="0" fillId="0" borderId="35" xfId="0" applyBorder="1" applyAlignment="1">
      <alignment horizontal="center"/>
    </xf>
    <xf numFmtId="2" fontId="0" fillId="0" borderId="17" xfId="0" applyNumberFormat="1" applyBorder="1" applyAlignment="1">
      <alignment horizontal="center"/>
    </xf>
    <xf numFmtId="2" fontId="0" fillId="0" borderId="34" xfId="0" applyNumberFormat="1" applyBorder="1" applyAlignment="1">
      <alignment horizontal="center"/>
    </xf>
    <xf numFmtId="2" fontId="0" fillId="6" borderId="17" xfId="0" applyNumberFormat="1" applyFill="1" applyBorder="1" applyAlignment="1">
      <alignment horizontal="center"/>
    </xf>
    <xf numFmtId="2" fontId="0" fillId="6" borderId="34" xfId="0" applyNumberFormat="1" applyFill="1"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2" fontId="0" fillId="6" borderId="32" xfId="0" applyNumberFormat="1" applyFill="1" applyBorder="1" applyAlignment="1">
      <alignment horizontal="center"/>
    </xf>
    <xf numFmtId="0" fontId="77" fillId="0" borderId="0" xfId="0" applyFont="1" applyAlignment="1">
      <alignment horizontal="left" vertical="center"/>
    </xf>
    <xf numFmtId="0" fontId="105" fillId="0" borderId="0" xfId="0" applyFont="1" applyAlignment="1">
      <alignment vertical="center"/>
    </xf>
    <xf numFmtId="0" fontId="19" fillId="0" borderId="0" xfId="0" applyFont="1" applyAlignment="1">
      <alignment vertical="center" wrapText="1"/>
    </xf>
    <xf numFmtId="0" fontId="0" fillId="0" borderId="0" xfId="0" applyAlignment="1">
      <alignment wrapText="1"/>
    </xf>
    <xf numFmtId="0" fontId="0" fillId="0" borderId="35" xfId="0" applyBorder="1" applyAlignment="1">
      <alignment horizontal="center" vertical="center" wrapText="1"/>
    </xf>
    <xf numFmtId="0" fontId="0" fillId="0" borderId="32" xfId="0" applyBorder="1" applyAlignment="1">
      <alignment horizontal="center" vertical="center"/>
    </xf>
    <xf numFmtId="0" fontId="19" fillId="0" borderId="0" xfId="0" applyFont="1" applyAlignment="1">
      <alignment vertical="center"/>
    </xf>
    <xf numFmtId="0" fontId="0" fillId="0" borderId="0" xfId="0" applyAlignment="1">
      <alignment vertical="center" wrapText="1"/>
    </xf>
    <xf numFmtId="0" fontId="0" fillId="6" borderId="32" xfId="0" applyFill="1" applyBorder="1" applyAlignment="1">
      <alignment horizontal="center" vertical="center"/>
    </xf>
    <xf numFmtId="0" fontId="0" fillId="6" borderId="34" xfId="0" applyFill="1" applyBorder="1" applyAlignment="1">
      <alignment horizontal="center" vertical="center"/>
    </xf>
    <xf numFmtId="0" fontId="91" fillId="0" borderId="0" xfId="0" applyFont="1" applyAlignment="1">
      <alignment vertical="center" wrapText="1"/>
    </xf>
    <xf numFmtId="0" fontId="95" fillId="0" borderId="0" xfId="0" applyFont="1"/>
    <xf numFmtId="0" fontId="95" fillId="0" borderId="0" xfId="0" applyFont="1" applyAlignment="1">
      <alignment vertical="center"/>
    </xf>
    <xf numFmtId="0" fontId="108" fillId="0" borderId="0" xfId="0" applyFont="1" applyAlignment="1">
      <alignment horizontal="left" vertical="center"/>
    </xf>
    <xf numFmtId="0" fontId="18" fillId="0" borderId="0" xfId="0" applyFont="1" applyAlignment="1">
      <alignment vertical="center" wrapText="1"/>
    </xf>
    <xf numFmtId="0" fontId="112" fillId="0" borderId="0" xfId="0" applyFont="1" applyAlignment="1">
      <alignment horizontal="left" vertical="center"/>
    </xf>
    <xf numFmtId="0" fontId="105" fillId="0" borderId="0" xfId="0" applyFont="1" applyAlignment="1">
      <alignment horizontal="left" vertical="center"/>
    </xf>
    <xf numFmtId="2" fontId="108" fillId="0" borderId="1" xfId="0" applyNumberFormat="1" applyFont="1" applyBorder="1" applyAlignment="1">
      <alignment horizontal="center" vertical="center"/>
    </xf>
    <xf numFmtId="0" fontId="19" fillId="3" borderId="1" xfId="0" applyFont="1" applyFill="1" applyBorder="1" applyAlignment="1">
      <alignment vertical="center"/>
    </xf>
    <xf numFmtId="167" fontId="0" fillId="27" borderId="34" xfId="0" applyNumberFormat="1" applyFill="1" applyBorder="1" applyAlignment="1">
      <alignment horizontal="center" vertical="center"/>
    </xf>
    <xf numFmtId="167" fontId="0" fillId="27" borderId="17" xfId="0" applyNumberFormat="1" applyFill="1" applyBorder="1" applyAlignment="1">
      <alignment horizontal="center" vertical="center"/>
    </xf>
    <xf numFmtId="167" fontId="0" fillId="27" borderId="32" xfId="0" applyNumberFormat="1" applyFill="1" applyBorder="1" applyAlignment="1">
      <alignment horizontal="center" vertical="center"/>
    </xf>
    <xf numFmtId="167" fontId="0" fillId="0" borderId="34" xfId="0" applyNumberFormat="1" applyBorder="1" applyAlignment="1">
      <alignment horizontal="center" vertical="center"/>
    </xf>
    <xf numFmtId="167" fontId="0" fillId="0" borderId="17" xfId="0" applyNumberFormat="1" applyBorder="1" applyAlignment="1">
      <alignment horizontal="center" vertical="center"/>
    </xf>
    <xf numFmtId="0" fontId="19" fillId="3" borderId="35" xfId="0" applyFont="1" applyFill="1" applyBorder="1" applyAlignment="1">
      <alignment vertical="center"/>
    </xf>
    <xf numFmtId="0" fontId="19" fillId="3" borderId="34" xfId="0" applyFont="1" applyFill="1" applyBorder="1" applyAlignment="1">
      <alignment vertical="center"/>
    </xf>
    <xf numFmtId="0" fontId="19" fillId="3" borderId="17" xfId="0" applyFont="1" applyFill="1" applyBorder="1" applyAlignment="1">
      <alignment vertical="center"/>
    </xf>
    <xf numFmtId="0" fontId="0" fillId="6" borderId="17" xfId="0" applyFill="1" applyBorder="1" applyAlignment="1">
      <alignment horizontal="center" vertical="center"/>
    </xf>
    <xf numFmtId="0" fontId="18" fillId="0" borderId="17" xfId="0" applyFont="1" applyBorder="1" applyAlignment="1">
      <alignment horizontal="center" vertical="center"/>
    </xf>
    <xf numFmtId="0" fontId="114" fillId="0" borderId="0" xfId="0" applyFont="1" applyAlignment="1">
      <alignment horizontal="center" vertical="center"/>
    </xf>
    <xf numFmtId="0" fontId="113" fillId="0" borderId="0" xfId="0" applyFont="1" applyAlignment="1">
      <alignment horizontal="center" vertical="center"/>
    </xf>
    <xf numFmtId="0" fontId="115" fillId="0" borderId="0" xfId="0" applyFont="1" applyAlignment="1">
      <alignment horizontal="center" vertical="center"/>
    </xf>
    <xf numFmtId="0" fontId="0" fillId="6" borderId="1" xfId="0" applyFill="1" applyBorder="1" applyAlignment="1">
      <alignment vertical="center"/>
    </xf>
    <xf numFmtId="0" fontId="0" fillId="28" borderId="0" xfId="0" applyFill="1" applyAlignment="1">
      <alignment vertical="center"/>
    </xf>
    <xf numFmtId="0" fontId="7" fillId="0" borderId="1" xfId="3" applyBorder="1" applyAlignment="1">
      <alignment vertical="center"/>
    </xf>
    <xf numFmtId="0" fontId="7" fillId="27" borderId="1" xfId="3" applyFill="1" applyBorder="1" applyAlignment="1">
      <alignment vertical="center"/>
    </xf>
    <xf numFmtId="166" fontId="0" fillId="0" borderId="34" xfId="0" applyNumberFormat="1" applyBorder="1" applyAlignment="1">
      <alignment horizontal="left" vertical="center"/>
    </xf>
    <xf numFmtId="0" fontId="105" fillId="6" borderId="34" xfId="0" applyFont="1" applyFill="1" applyBorder="1" applyAlignment="1">
      <alignment vertical="center"/>
    </xf>
    <xf numFmtId="166" fontId="0" fillId="27" borderId="34" xfId="0" applyNumberFormat="1" applyFill="1" applyBorder="1" applyAlignment="1">
      <alignment horizontal="left" vertical="center"/>
    </xf>
    <xf numFmtId="169" fontId="0" fillId="6" borderId="17" xfId="0" applyNumberFormat="1" applyFill="1" applyBorder="1" applyAlignment="1">
      <alignment horizontal="center" vertical="center"/>
    </xf>
    <xf numFmtId="0" fontId="105" fillId="30" borderId="1" xfId="0" applyFont="1" applyFill="1" applyBorder="1" applyAlignment="1">
      <alignment vertical="center"/>
    </xf>
    <xf numFmtId="166" fontId="0" fillId="30" borderId="34" xfId="0" applyNumberFormat="1" applyFill="1" applyBorder="1" applyAlignment="1">
      <alignment horizontal="left" vertical="center"/>
    </xf>
    <xf numFmtId="166" fontId="0" fillId="30" borderId="1" xfId="0" applyNumberFormat="1" applyFill="1" applyBorder="1" applyAlignment="1">
      <alignment horizontal="left" vertical="center"/>
    </xf>
    <xf numFmtId="0" fontId="0" fillId="30" borderId="1" xfId="0" applyFill="1" applyBorder="1" applyAlignment="1">
      <alignment vertical="center"/>
    </xf>
    <xf numFmtId="0" fontId="7" fillId="30" borderId="1" xfId="3" applyFill="1" applyBorder="1" applyAlignment="1">
      <alignment vertical="center"/>
    </xf>
    <xf numFmtId="2" fontId="0" fillId="30" borderId="17" xfId="0" applyNumberFormat="1" applyFill="1" applyBorder="1" applyAlignment="1">
      <alignment horizontal="center" vertical="center"/>
    </xf>
    <xf numFmtId="2" fontId="0" fillId="30" borderId="34" xfId="0" applyNumberFormat="1" applyFill="1" applyBorder="1" applyAlignment="1">
      <alignment horizontal="center" vertical="center"/>
    </xf>
    <xf numFmtId="2" fontId="91" fillId="30" borderId="1" xfId="0" applyNumberFormat="1" applyFont="1" applyFill="1" applyBorder="1" applyAlignment="1">
      <alignment horizontal="center" vertical="center" wrapText="1"/>
    </xf>
    <xf numFmtId="2" fontId="0" fillId="30" borderId="1" xfId="0" applyNumberFormat="1" applyFill="1" applyBorder="1" applyAlignment="1">
      <alignment horizontal="center" vertical="center"/>
    </xf>
    <xf numFmtId="2" fontId="0" fillId="0" borderId="88" xfId="0" applyNumberFormat="1" applyBorder="1" applyAlignment="1">
      <alignment horizontal="center" vertical="center"/>
    </xf>
    <xf numFmtId="0" fontId="0" fillId="27" borderId="81" xfId="0" applyFill="1" applyBorder="1" applyAlignment="1">
      <alignment horizontal="center" vertical="center"/>
    </xf>
    <xf numFmtId="166" fontId="0" fillId="31" borderId="34" xfId="0" applyNumberFormat="1" applyFill="1" applyBorder="1" applyAlignment="1">
      <alignment horizontal="left" vertical="center"/>
    </xf>
    <xf numFmtId="166" fontId="0" fillId="31" borderId="1" xfId="0" applyNumberFormat="1" applyFill="1" applyBorder="1" applyAlignment="1">
      <alignment horizontal="left" vertical="center"/>
    </xf>
    <xf numFmtId="0" fontId="0" fillId="31" borderId="1" xfId="0" applyFill="1" applyBorder="1" applyAlignment="1">
      <alignment vertical="center"/>
    </xf>
    <xf numFmtId="0" fontId="7" fillId="31" borderId="1" xfId="3" applyFill="1" applyBorder="1" applyAlignment="1">
      <alignment vertical="center"/>
    </xf>
    <xf numFmtId="0" fontId="0" fillId="0" borderId="1" xfId="0" applyBorder="1" applyAlignment="1">
      <alignment horizontal="left" vertical="center" wrapText="1"/>
    </xf>
    <xf numFmtId="0" fontId="0" fillId="0" borderId="0" xfId="0" applyAlignment="1">
      <alignment horizontal="center" vertical="center"/>
    </xf>
    <xf numFmtId="2" fontId="18" fillId="0" borderId="17" xfId="12" applyNumberFormat="1" applyFont="1" applyBorder="1" applyAlignment="1">
      <alignment horizontal="center" vertical="center"/>
    </xf>
    <xf numFmtId="0" fontId="94" fillId="0" borderId="0" xfId="11" applyFont="1" applyAlignment="1">
      <alignment vertical="center" wrapText="1"/>
    </xf>
    <xf numFmtId="0" fontId="0" fillId="0" borderId="5" xfId="0" applyBorder="1"/>
    <xf numFmtId="0" fontId="0" fillId="0" borderId="37" xfId="0" applyBorder="1"/>
    <xf numFmtId="0" fontId="94" fillId="0" borderId="58" xfId="11" applyFont="1" applyBorder="1" applyAlignment="1">
      <alignment vertical="center"/>
    </xf>
    <xf numFmtId="0" fontId="94" fillId="0" borderId="58" xfId="11" applyFont="1" applyBorder="1" applyAlignment="1">
      <alignment vertical="center" wrapText="1"/>
    </xf>
    <xf numFmtId="0" fontId="0" fillId="0" borderId="7" xfId="0" applyBorder="1"/>
    <xf numFmtId="0" fontId="0" fillId="0" borderId="56" xfId="0" applyBorder="1"/>
    <xf numFmtId="0" fontId="0" fillId="0" borderId="8" xfId="0" applyBorder="1"/>
    <xf numFmtId="0" fontId="19" fillId="0" borderId="0" xfId="0" applyFont="1" applyAlignment="1">
      <alignment horizontal="left" vertical="center"/>
    </xf>
    <xf numFmtId="0" fontId="0" fillId="18" borderId="1" xfId="0" applyFill="1" applyBorder="1"/>
    <xf numFmtId="0" fontId="92" fillId="18" borderId="1" xfId="0" applyFont="1" applyFill="1" applyBorder="1" applyAlignment="1">
      <alignment horizontal="center" vertical="center"/>
    </xf>
    <xf numFmtId="0" fontId="19" fillId="0" borderId="6" xfId="0" applyFont="1" applyBorder="1" applyAlignment="1">
      <alignment horizontal="left" vertical="center"/>
    </xf>
    <xf numFmtId="0" fontId="19" fillId="0" borderId="58" xfId="0" applyFont="1" applyBorder="1" applyAlignment="1">
      <alignment horizontal="left" vertical="center"/>
    </xf>
    <xf numFmtId="2" fontId="95" fillId="0" borderId="0" xfId="0" applyNumberFormat="1" applyFont="1" applyAlignment="1">
      <alignment wrapText="1"/>
    </xf>
    <xf numFmtId="2" fontId="95" fillId="0" borderId="0" xfId="0" applyNumberFormat="1" applyFont="1"/>
    <xf numFmtId="167" fontId="88" fillId="0" borderId="1" xfId="1" applyNumberFormat="1" applyFont="1" applyFill="1" applyBorder="1" applyAlignment="1">
      <alignment horizontal="center" vertical="center"/>
    </xf>
    <xf numFmtId="167" fontId="88" fillId="0" borderId="13" xfId="1" applyNumberFormat="1" applyFont="1" applyFill="1" applyBorder="1" applyAlignment="1">
      <alignment horizontal="center" vertical="center"/>
    </xf>
    <xf numFmtId="167" fontId="88" fillId="9" borderId="13" xfId="1" applyNumberFormat="1" applyFont="1" applyFill="1" applyBorder="1" applyAlignment="1">
      <alignment horizontal="center" vertical="center"/>
    </xf>
    <xf numFmtId="167" fontId="88" fillId="9" borderId="1" xfId="1" applyNumberFormat="1" applyFont="1" applyFill="1" applyBorder="1" applyAlignment="1">
      <alignment horizontal="center" vertical="center"/>
    </xf>
    <xf numFmtId="2" fontId="95" fillId="0" borderId="0" xfId="2" applyNumberFormat="1" applyFont="1" applyBorder="1" applyAlignment="1">
      <alignment horizontal="center" vertical="center"/>
    </xf>
    <xf numFmtId="167" fontId="88" fillId="0" borderId="41" xfId="1" applyNumberFormat="1" applyFont="1" applyFill="1" applyBorder="1" applyAlignment="1">
      <alignment horizontal="center" vertical="center"/>
    </xf>
    <xf numFmtId="0" fontId="88" fillId="0" borderId="1" xfId="0" applyFont="1" applyBorder="1"/>
    <xf numFmtId="167" fontId="100" fillId="0" borderId="0" xfId="0" applyNumberFormat="1" applyFont="1" applyAlignment="1">
      <alignment horizontal="center" vertical="center"/>
    </xf>
    <xf numFmtId="0" fontId="121" fillId="0" borderId="0" xfId="0" applyFont="1"/>
    <xf numFmtId="1" fontId="74" fillId="0" borderId="0" xfId="0" applyNumberFormat="1" applyFont="1"/>
    <xf numFmtId="0" fontId="102" fillId="0" borderId="0" xfId="0" applyFont="1" applyAlignment="1">
      <alignment vertical="center"/>
    </xf>
    <xf numFmtId="0" fontId="122" fillId="0" borderId="0" xfId="0" applyFont="1" applyAlignment="1">
      <alignment vertical="center"/>
    </xf>
    <xf numFmtId="0" fontId="106" fillId="0" borderId="0" xfId="0" applyFont="1" applyAlignment="1">
      <alignment horizontal="center" vertical="center"/>
    </xf>
    <xf numFmtId="167" fontId="100" fillId="0" borderId="0" xfId="2" applyNumberFormat="1" applyFont="1" applyBorder="1" applyAlignment="1">
      <alignment horizontal="center" vertical="center"/>
    </xf>
    <xf numFmtId="0" fontId="89" fillId="0" borderId="0" xfId="3" applyFont="1"/>
    <xf numFmtId="2" fontId="75" fillId="0" borderId="17" xfId="0" applyNumberFormat="1" applyFont="1" applyBorder="1" applyAlignment="1">
      <alignment horizontal="center" vertical="center"/>
    </xf>
    <xf numFmtId="0" fontId="95" fillId="0" borderId="0" xfId="0" applyFont="1" applyAlignment="1">
      <alignment horizontal="centerContinuous" vertical="center"/>
    </xf>
    <xf numFmtId="0" fontId="76" fillId="11" borderId="1" xfId="0" applyFont="1" applyFill="1" applyBorder="1" applyAlignment="1">
      <alignment horizontal="center" vertical="center" wrapText="1"/>
    </xf>
    <xf numFmtId="0" fontId="76" fillId="11" borderId="1" xfId="0" applyFont="1" applyFill="1" applyBorder="1" applyAlignment="1">
      <alignment horizontal="center" vertical="top" wrapText="1"/>
    </xf>
    <xf numFmtId="167" fontId="100" fillId="6" borderId="1" xfId="0" applyNumberFormat="1" applyFont="1" applyFill="1" applyBorder="1" applyAlignment="1">
      <alignment horizontal="center" vertical="center"/>
    </xf>
    <xf numFmtId="167" fontId="100" fillId="6" borderId="34" xfId="0" applyNumberFormat="1" applyFont="1" applyFill="1" applyBorder="1" applyAlignment="1">
      <alignment horizontal="center" vertical="center"/>
    </xf>
    <xf numFmtId="0" fontId="76" fillId="11" borderId="13" xfId="0" applyFont="1" applyFill="1" applyBorder="1" applyAlignment="1">
      <alignment horizontal="center" vertical="center" wrapText="1"/>
    </xf>
    <xf numFmtId="0" fontId="76" fillId="11" borderId="14" xfId="0" applyFont="1" applyFill="1" applyBorder="1" applyAlignment="1">
      <alignment horizontal="center" vertical="center" wrapText="1"/>
    </xf>
    <xf numFmtId="167" fontId="88" fillId="0" borderId="14" xfId="1" applyNumberFormat="1" applyFont="1" applyFill="1" applyBorder="1" applyAlignment="1">
      <alignment horizontal="center" vertical="center"/>
    </xf>
    <xf numFmtId="167" fontId="100" fillId="6" borderId="36" xfId="0" applyNumberFormat="1" applyFont="1" applyFill="1" applyBorder="1" applyAlignment="1">
      <alignment horizontal="center" vertical="center"/>
    </xf>
    <xf numFmtId="167" fontId="88" fillId="28" borderId="17" xfId="1" applyNumberFormat="1" applyFont="1" applyFill="1" applyBorder="1" applyAlignment="1">
      <alignment horizontal="center" vertical="center"/>
    </xf>
    <xf numFmtId="167" fontId="88" fillId="9" borderId="17" xfId="1" applyNumberFormat="1" applyFont="1" applyFill="1" applyBorder="1" applyAlignment="1">
      <alignment horizontal="center" vertical="center"/>
    </xf>
    <xf numFmtId="167" fontId="88" fillId="9" borderId="14" xfId="1" applyNumberFormat="1" applyFont="1" applyFill="1" applyBorder="1" applyAlignment="1">
      <alignment horizontal="center" vertical="center"/>
    </xf>
    <xf numFmtId="167" fontId="88" fillId="0" borderId="57" xfId="1" applyNumberFormat="1" applyFont="1" applyFill="1" applyBorder="1" applyAlignment="1">
      <alignment horizontal="center" vertical="center"/>
    </xf>
    <xf numFmtId="167" fontId="88" fillId="0" borderId="103" xfId="1" applyNumberFormat="1" applyFont="1" applyFill="1" applyBorder="1" applyAlignment="1">
      <alignment horizontal="center" vertical="center"/>
    </xf>
    <xf numFmtId="167" fontId="100" fillId="6" borderId="100" xfId="0" applyNumberFormat="1" applyFont="1" applyFill="1" applyBorder="1" applyAlignment="1">
      <alignment horizontal="center" vertical="center"/>
    </xf>
    <xf numFmtId="167" fontId="88" fillId="28" borderId="104" xfId="1" applyNumberFormat="1" applyFont="1" applyFill="1" applyBorder="1" applyAlignment="1">
      <alignment horizontal="center" vertical="center"/>
    </xf>
    <xf numFmtId="167" fontId="88" fillId="9" borderId="104" xfId="1" applyNumberFormat="1" applyFont="1" applyFill="1" applyBorder="1" applyAlignment="1">
      <alignment horizontal="center" vertical="center"/>
    </xf>
    <xf numFmtId="167" fontId="88" fillId="9" borderId="57" xfId="1" applyNumberFormat="1" applyFont="1" applyFill="1" applyBorder="1" applyAlignment="1">
      <alignment horizontal="center" vertical="center"/>
    </xf>
    <xf numFmtId="167" fontId="88" fillId="9" borderId="41" xfId="1" applyNumberFormat="1" applyFont="1" applyFill="1" applyBorder="1" applyAlignment="1">
      <alignment horizontal="center" vertical="center"/>
    </xf>
    <xf numFmtId="167" fontId="88" fillId="9" borderId="103" xfId="1" applyNumberFormat="1" applyFont="1" applyFill="1" applyBorder="1" applyAlignment="1">
      <alignment horizontal="center" vertical="center"/>
    </xf>
    <xf numFmtId="167" fontId="100" fillId="6" borderId="88" xfId="0" applyNumberFormat="1" applyFont="1" applyFill="1" applyBorder="1" applyAlignment="1">
      <alignment horizontal="center" vertical="center"/>
    </xf>
    <xf numFmtId="167" fontId="100" fillId="6" borderId="41" xfId="0" applyNumberFormat="1" applyFont="1" applyFill="1" applyBorder="1" applyAlignment="1">
      <alignment horizontal="center" vertical="center"/>
    </xf>
    <xf numFmtId="167" fontId="100" fillId="0" borderId="20" xfId="2" applyNumberFormat="1" applyFont="1" applyBorder="1" applyAlignment="1">
      <alignment horizontal="center" vertical="center"/>
    </xf>
    <xf numFmtId="167" fontId="100" fillId="0" borderId="21" xfId="2" applyNumberFormat="1" applyFont="1" applyBorder="1" applyAlignment="1">
      <alignment horizontal="center" vertical="center"/>
    </xf>
    <xf numFmtId="167" fontId="100" fillId="0" borderId="22" xfId="2" applyNumberFormat="1" applyFont="1" applyBorder="1" applyAlignment="1">
      <alignment horizontal="center" vertical="center"/>
    </xf>
    <xf numFmtId="167" fontId="100" fillId="6" borderId="33" xfId="2" applyNumberFormat="1" applyFont="1" applyFill="1" applyBorder="1" applyAlignment="1">
      <alignment horizontal="center" vertical="center"/>
    </xf>
    <xf numFmtId="167" fontId="100" fillId="0" borderId="23" xfId="2" applyNumberFormat="1" applyFont="1" applyBorder="1" applyAlignment="1">
      <alignment horizontal="center" vertical="center"/>
    </xf>
    <xf numFmtId="167" fontId="100" fillId="6" borderId="66" xfId="2" applyNumberFormat="1" applyFont="1" applyFill="1" applyBorder="1" applyAlignment="1">
      <alignment horizontal="center" vertical="center"/>
    </xf>
    <xf numFmtId="167" fontId="100" fillId="6" borderId="22" xfId="2" applyNumberFormat="1" applyFont="1" applyFill="1" applyBorder="1" applyAlignment="1">
      <alignment horizontal="center" vertical="center"/>
    </xf>
    <xf numFmtId="0" fontId="120" fillId="0" borderId="0" xfId="0" applyFont="1" applyAlignment="1">
      <alignment vertical="center"/>
    </xf>
    <xf numFmtId="0" fontId="119" fillId="11" borderId="1" xfId="0" applyFont="1" applyFill="1" applyBorder="1" applyAlignment="1">
      <alignment vertical="center"/>
    </xf>
    <xf numFmtId="0" fontId="119" fillId="11" borderId="41" xfId="0" applyFont="1" applyFill="1" applyBorder="1" applyAlignment="1">
      <alignment vertical="center"/>
    </xf>
    <xf numFmtId="0" fontId="119" fillId="11" borderId="20" xfId="0" applyFont="1" applyFill="1" applyBorder="1" applyAlignment="1">
      <alignment vertical="center"/>
    </xf>
    <xf numFmtId="0" fontId="101" fillId="0" borderId="0" xfId="0" applyFont="1" applyAlignment="1">
      <alignment vertical="center"/>
    </xf>
    <xf numFmtId="0" fontId="74" fillId="0" borderId="1" xfId="0" applyFont="1" applyBorder="1" applyAlignment="1">
      <alignment vertical="center" wrapText="1"/>
    </xf>
    <xf numFmtId="0" fontId="95" fillId="0" borderId="1" xfId="0" applyFont="1" applyBorder="1" applyAlignment="1">
      <alignment vertical="center" wrapText="1"/>
    </xf>
    <xf numFmtId="0" fontId="74" fillId="0" borderId="1" xfId="0" applyFont="1" applyBorder="1" applyAlignment="1">
      <alignment horizontal="left" vertical="center" wrapText="1"/>
    </xf>
    <xf numFmtId="0" fontId="74" fillId="0" borderId="0" xfId="0" applyFont="1" applyAlignment="1">
      <alignment horizontal="left"/>
    </xf>
    <xf numFmtId="0" fontId="95" fillId="0" borderId="1" xfId="0" applyFont="1" applyBorder="1" applyAlignment="1">
      <alignment horizontal="left" vertical="center" wrapText="1"/>
    </xf>
    <xf numFmtId="0" fontId="74" fillId="0" borderId="1" xfId="0" applyFont="1" applyBorder="1" applyAlignment="1">
      <alignment horizontal="justify" vertical="center" wrapText="1"/>
    </xf>
    <xf numFmtId="0" fontId="95" fillId="0" borderId="1" xfId="0" applyFont="1" applyBorder="1" applyAlignment="1">
      <alignment horizontal="justify" vertical="center" wrapText="1"/>
    </xf>
    <xf numFmtId="0" fontId="74" fillId="0" borderId="39" xfId="0" applyFont="1" applyBorder="1" applyAlignment="1">
      <alignment horizontal="left" vertical="center"/>
    </xf>
    <xf numFmtId="0" fontId="74" fillId="0" borderId="39" xfId="0" applyFont="1" applyBorder="1" applyAlignment="1">
      <alignment vertical="center" wrapText="1"/>
    </xf>
    <xf numFmtId="0" fontId="74" fillId="0" borderId="20" xfId="0" applyFont="1" applyBorder="1" applyAlignment="1">
      <alignment horizontal="left"/>
    </xf>
    <xf numFmtId="0" fontId="95" fillId="0" borderId="21" xfId="0" applyFont="1" applyBorder="1" applyAlignment="1">
      <alignment horizontal="left" vertical="center"/>
    </xf>
    <xf numFmtId="0" fontId="95" fillId="0" borderId="22" xfId="0" applyFont="1" applyBorder="1" applyAlignment="1">
      <alignment vertical="center"/>
    </xf>
    <xf numFmtId="0" fontId="95" fillId="0" borderId="39" xfId="0" applyFont="1" applyBorder="1" applyAlignment="1">
      <alignment horizontal="left" vertical="center" wrapText="1"/>
    </xf>
    <xf numFmtId="0" fontId="95" fillId="0" borderId="20" xfId="0" applyFont="1" applyBorder="1" applyAlignment="1">
      <alignment horizontal="left" vertical="center" wrapText="1"/>
    </xf>
    <xf numFmtId="0" fontId="95" fillId="0" borderId="21" xfId="0" applyFont="1" applyBorder="1" applyAlignment="1">
      <alignment horizontal="left" vertical="center" wrapText="1"/>
    </xf>
    <xf numFmtId="0" fontId="95" fillId="0" borderId="22" xfId="0" applyFont="1" applyBorder="1" applyAlignment="1">
      <alignment horizontal="left" vertical="center" wrapText="1"/>
    </xf>
    <xf numFmtId="0" fontId="117" fillId="0" borderId="17" xfId="0" applyFont="1" applyBorder="1" applyAlignment="1">
      <alignment horizontal="center" vertical="center"/>
    </xf>
    <xf numFmtId="0" fontId="74" fillId="4" borderId="1" xfId="0" applyFont="1" applyFill="1" applyBorder="1" applyAlignment="1">
      <alignment horizontal="center" vertical="center"/>
    </xf>
    <xf numFmtId="166" fontId="74" fillId="6" borderId="1" xfId="0" applyNumberFormat="1" applyFont="1" applyFill="1" applyBorder="1" applyAlignment="1">
      <alignment horizontal="center" vertical="center"/>
    </xf>
    <xf numFmtId="2" fontId="74" fillId="6" borderId="1" xfId="0" applyNumberFormat="1" applyFont="1" applyFill="1" applyBorder="1" applyAlignment="1">
      <alignment horizontal="center" vertical="center"/>
    </xf>
    <xf numFmtId="0" fontId="74" fillId="3" borderId="1" xfId="0" applyFont="1" applyFill="1" applyBorder="1" applyAlignment="1">
      <alignment horizontal="center" vertical="center"/>
    </xf>
    <xf numFmtId="0" fontId="74" fillId="6" borderId="1" xfId="0" applyFont="1" applyFill="1" applyBorder="1" applyAlignment="1">
      <alignment horizontal="center" vertical="center"/>
    </xf>
    <xf numFmtId="2" fontId="74" fillId="0" borderId="1" xfId="0" applyNumberFormat="1" applyFont="1" applyBorder="1" applyAlignment="1">
      <alignment horizontal="center" vertical="center"/>
    </xf>
    <xf numFmtId="0" fontId="89" fillId="0" borderId="0" xfId="0" applyFont="1" applyAlignment="1">
      <alignment horizontal="center" vertical="center"/>
    </xf>
    <xf numFmtId="0" fontId="92" fillId="22" borderId="1" xfId="0" applyFont="1" applyFill="1" applyBorder="1" applyAlignment="1">
      <alignment horizontal="left" vertical="center"/>
    </xf>
    <xf numFmtId="0" fontId="92" fillId="22" borderId="35" xfId="0" applyFont="1" applyFill="1" applyBorder="1" applyAlignment="1">
      <alignment horizontal="center" vertical="center"/>
    </xf>
    <xf numFmtId="2" fontId="74" fillId="27" borderId="1" xfId="0" applyNumberFormat="1" applyFont="1" applyFill="1" applyBorder="1" applyAlignment="1">
      <alignment horizontal="center" vertical="center" wrapText="1"/>
    </xf>
    <xf numFmtId="2" fontId="74" fillId="0" borderId="1" xfId="12" applyNumberFormat="1" applyFont="1" applyBorder="1" applyAlignment="1">
      <alignment horizontal="center" vertical="center" wrapText="1"/>
    </xf>
    <xf numFmtId="0" fontId="74" fillId="0" borderId="0" xfId="0" applyFont="1" applyAlignment="1">
      <alignment vertical="center" wrapText="1"/>
    </xf>
    <xf numFmtId="0" fontId="74" fillId="3" borderId="1" xfId="0" applyFont="1" applyFill="1" applyBorder="1" applyAlignment="1">
      <alignment vertical="center" wrapText="1"/>
    </xf>
    <xf numFmtId="2" fontId="74" fillId="9" borderId="1" xfId="0" applyNumberFormat="1" applyFont="1" applyFill="1" applyBorder="1" applyAlignment="1">
      <alignment horizontal="center" vertical="center" wrapText="1"/>
    </xf>
    <xf numFmtId="0" fontId="74" fillId="3" borderId="1" xfId="0" applyFont="1" applyFill="1" applyBorder="1"/>
    <xf numFmtId="2" fontId="74" fillId="5" borderId="1" xfId="0" applyNumberFormat="1" applyFont="1" applyFill="1" applyBorder="1" applyAlignment="1" applyProtection="1">
      <alignment horizontal="center"/>
      <protection locked="0"/>
    </xf>
    <xf numFmtId="2" fontId="74" fillId="5" borderId="1" xfId="0" applyNumberFormat="1" applyFont="1" applyFill="1" applyBorder="1" applyProtection="1">
      <protection locked="0"/>
    </xf>
    <xf numFmtId="2" fontId="74" fillId="3" borderId="1" xfId="0" applyNumberFormat="1" applyFont="1" applyFill="1" applyBorder="1"/>
    <xf numFmtId="2" fontId="74" fillId="6" borderId="1" xfId="0" applyNumberFormat="1" applyFont="1" applyFill="1" applyBorder="1" applyAlignment="1">
      <alignment horizontal="center"/>
    </xf>
    <xf numFmtId="0" fontId="74" fillId="0" borderId="58" xfId="11" applyFont="1" applyBorder="1" applyAlignment="1">
      <alignment vertical="center"/>
    </xf>
    <xf numFmtId="0" fontId="74" fillId="0" borderId="58" xfId="11" applyFont="1" applyBorder="1" applyAlignment="1">
      <alignment vertical="center" wrapText="1"/>
    </xf>
    <xf numFmtId="0" fontId="74" fillId="0" borderId="0" xfId="0" applyFont="1" applyProtection="1">
      <protection locked="0"/>
    </xf>
    <xf numFmtId="0" fontId="74" fillId="0" borderId="0" xfId="0" applyFont="1" applyAlignment="1">
      <alignment horizontal="center" vertical="center" wrapText="1"/>
    </xf>
    <xf numFmtId="0" fontId="19" fillId="0" borderId="1" xfId="0" applyFont="1" applyBorder="1" applyAlignment="1">
      <alignment vertical="center"/>
    </xf>
    <xf numFmtId="0" fontId="117" fillId="0" borderId="1" xfId="0" applyFont="1" applyBorder="1" applyAlignment="1">
      <alignment horizontal="center" vertical="center"/>
    </xf>
    <xf numFmtId="0" fontId="18" fillId="0" borderId="1" xfId="0" applyFont="1" applyBorder="1" applyAlignment="1">
      <alignment horizontal="center" vertical="center"/>
    </xf>
    <xf numFmtId="0" fontId="116" fillId="0" borderId="1" xfId="0" applyFont="1" applyBorder="1" applyAlignment="1">
      <alignment horizontal="center" vertical="center"/>
    </xf>
    <xf numFmtId="0" fontId="0" fillId="2" borderId="39" xfId="0" applyFill="1" applyBorder="1"/>
    <xf numFmtId="0" fontId="0" fillId="22" borderId="23" xfId="0" applyFill="1" applyBorder="1"/>
    <xf numFmtId="2" fontId="18" fillId="5" borderId="34" xfId="0" applyNumberFormat="1" applyFont="1" applyFill="1" applyBorder="1" applyAlignment="1" applyProtection="1">
      <alignment horizontal="center"/>
      <protection locked="0"/>
    </xf>
    <xf numFmtId="2" fontId="18" fillId="5" borderId="34" xfId="0" applyNumberFormat="1" applyFont="1" applyFill="1" applyBorder="1" applyProtection="1">
      <protection locked="0"/>
    </xf>
    <xf numFmtId="2" fontId="18" fillId="3" borderId="34" xfId="0" applyNumberFormat="1" applyFont="1" applyFill="1" applyBorder="1"/>
    <xf numFmtId="2" fontId="18" fillId="0" borderId="34" xfId="0" applyNumberFormat="1" applyFont="1" applyBorder="1" applyAlignment="1">
      <alignment horizontal="center"/>
    </xf>
    <xf numFmtId="0" fontId="124" fillId="11" borderId="1" xfId="0" applyFont="1" applyFill="1" applyBorder="1" applyAlignment="1">
      <alignment vertical="center"/>
    </xf>
    <xf numFmtId="0" fontId="11" fillId="0" borderId="0" xfId="11"/>
    <xf numFmtId="0" fontId="125" fillId="0" borderId="0" xfId="0" applyFont="1"/>
    <xf numFmtId="0" fontId="11" fillId="32" borderId="0" xfId="11" applyFill="1"/>
    <xf numFmtId="0" fontId="127" fillId="8" borderId="0" xfId="11" applyFont="1" applyFill="1" applyAlignment="1">
      <alignment horizontal="center"/>
    </xf>
    <xf numFmtId="0" fontId="128" fillId="8" borderId="0" xfId="11" applyFont="1" applyFill="1" applyAlignment="1">
      <alignment horizontal="left" indent="2"/>
    </xf>
    <xf numFmtId="0" fontId="129" fillId="0" borderId="0" xfId="11" applyFont="1"/>
    <xf numFmtId="17" fontId="127" fillId="8" borderId="0" xfId="11" applyNumberFormat="1" applyFont="1" applyFill="1" applyAlignment="1">
      <alignment horizontal="center"/>
    </xf>
    <xf numFmtId="0" fontId="129" fillId="32" borderId="0" xfId="11" applyFont="1" applyFill="1"/>
    <xf numFmtId="0" fontId="132" fillId="32" borderId="0" xfId="11" applyFont="1" applyFill="1"/>
    <xf numFmtId="14" fontId="133" fillId="32" borderId="0" xfId="11" applyNumberFormat="1" applyFont="1" applyFill="1" applyAlignment="1">
      <alignment vertical="top"/>
    </xf>
    <xf numFmtId="0" fontId="129" fillId="9" borderId="0" xfId="11" applyFont="1" applyFill="1"/>
    <xf numFmtId="0" fontId="129" fillId="9" borderId="0" xfId="11" applyFont="1" applyFill="1" applyAlignment="1">
      <alignment horizontal="center"/>
    </xf>
    <xf numFmtId="2" fontId="134" fillId="9" borderId="0" xfId="0" applyNumberFormat="1" applyFont="1" applyFill="1" applyAlignment="1">
      <alignment horizontal="right" vertical="center" wrapText="1"/>
    </xf>
    <xf numFmtId="182" fontId="134" fillId="9" borderId="0" xfId="32" applyNumberFormat="1" applyFont="1" applyFill="1" applyBorder="1" applyAlignment="1">
      <alignment horizontal="right" vertical="center" wrapText="1"/>
    </xf>
    <xf numFmtId="0" fontId="76" fillId="9" borderId="0" xfId="0" applyFont="1" applyFill="1"/>
    <xf numFmtId="0" fontId="75" fillId="9" borderId="0" xfId="0" applyFont="1" applyFill="1"/>
    <xf numFmtId="168" fontId="134" fillId="9" borderId="0" xfId="32" applyNumberFormat="1" applyFont="1" applyFill="1" applyBorder="1" applyAlignment="1">
      <alignment horizontal="right" vertical="center" wrapText="1"/>
    </xf>
    <xf numFmtId="0" fontId="135" fillId="9" borderId="0" xfId="3" applyFont="1" applyFill="1"/>
    <xf numFmtId="0" fontId="138" fillId="0" borderId="1" xfId="0" applyFont="1" applyBorder="1"/>
    <xf numFmtId="0" fontId="11" fillId="0" borderId="0" xfId="11" applyAlignment="1">
      <alignment vertical="center"/>
    </xf>
    <xf numFmtId="0" fontId="138" fillId="27" borderId="1" xfId="0" applyFont="1" applyFill="1" applyBorder="1"/>
    <xf numFmtId="0" fontId="139" fillId="0" borderId="0" xfId="0" applyFont="1"/>
    <xf numFmtId="0" fontId="0" fillId="28" borderId="0" xfId="0" applyFill="1"/>
    <xf numFmtId="0" fontId="140" fillId="0" borderId="0" xfId="0" applyFont="1" applyAlignment="1">
      <alignment horizontal="left" vertical="center"/>
    </xf>
    <xf numFmtId="0" fontId="138" fillId="0" borderId="0" xfId="0" applyFont="1"/>
    <xf numFmtId="0" fontId="141" fillId="2" borderId="23" xfId="0" applyFont="1" applyFill="1" applyBorder="1" applyAlignment="1">
      <alignment horizontal="center" vertical="center"/>
    </xf>
    <xf numFmtId="0" fontId="21" fillId="14" borderId="23" xfId="0" applyFont="1" applyFill="1" applyBorder="1" applyAlignment="1">
      <alignment horizontal="center" vertical="center"/>
    </xf>
    <xf numFmtId="0" fontId="141" fillId="22" borderId="65" xfId="0" applyFont="1" applyFill="1" applyBorder="1" applyAlignment="1">
      <alignment horizontal="center" vertical="center" wrapText="1"/>
    </xf>
    <xf numFmtId="0" fontId="142" fillId="33" borderId="5" xfId="0" applyFont="1" applyFill="1" applyBorder="1"/>
    <xf numFmtId="0" fontId="138" fillId="26" borderId="65" xfId="0" applyFont="1" applyFill="1" applyBorder="1"/>
    <xf numFmtId="0" fontId="138" fillId="27" borderId="26" xfId="0" applyFont="1" applyFill="1" applyBorder="1"/>
    <xf numFmtId="0" fontId="138" fillId="0" borderId="5" xfId="0" applyFont="1" applyBorder="1"/>
    <xf numFmtId="0" fontId="138" fillId="0" borderId="12" xfId="0" applyFont="1" applyBorder="1"/>
    <xf numFmtId="0" fontId="0" fillId="0" borderId="0" xfId="0" applyAlignment="1">
      <alignment horizontal="right"/>
    </xf>
    <xf numFmtId="0" fontId="143" fillId="0" borderId="0" xfId="0" applyFont="1"/>
    <xf numFmtId="0" fontId="142" fillId="33" borderId="37" xfId="0" applyFont="1" applyFill="1" applyBorder="1"/>
    <xf numFmtId="0" fontId="138" fillId="26" borderId="105" xfId="0" applyFont="1" applyFill="1" applyBorder="1"/>
    <xf numFmtId="0" fontId="138" fillId="0" borderId="105" xfId="0" applyFont="1" applyBorder="1"/>
    <xf numFmtId="0" fontId="138" fillId="0" borderId="37" xfId="0" applyFont="1" applyBorder="1"/>
    <xf numFmtId="0" fontId="138" fillId="0" borderId="17" xfId="0" applyFont="1" applyBorder="1"/>
    <xf numFmtId="0" fontId="138" fillId="27" borderId="13" xfId="0" applyFont="1" applyFill="1" applyBorder="1"/>
    <xf numFmtId="0" fontId="138" fillId="0" borderId="64" xfId="0" applyFont="1" applyBorder="1"/>
    <xf numFmtId="0" fontId="138" fillId="0" borderId="7" xfId="0" applyFont="1" applyBorder="1"/>
    <xf numFmtId="0" fontId="144" fillId="0" borderId="0" xfId="0" applyFont="1"/>
    <xf numFmtId="0" fontId="142" fillId="33" borderId="19" xfId="0" applyFont="1" applyFill="1" applyBorder="1"/>
    <xf numFmtId="0" fontId="138" fillId="26" borderId="23" xfId="0" applyFont="1" applyFill="1" applyBorder="1"/>
    <xf numFmtId="0" fontId="142" fillId="6" borderId="20" xfId="0" applyFont="1" applyFill="1" applyBorder="1"/>
    <xf numFmtId="0" fontId="142" fillId="6" borderId="106" xfId="0" applyFont="1" applyFill="1" applyBorder="1"/>
    <xf numFmtId="0" fontId="138" fillId="0" borderId="32" xfId="0" applyFont="1" applyBorder="1"/>
    <xf numFmtId="0" fontId="142" fillId="0" borderId="0" xfId="0" applyFont="1"/>
    <xf numFmtId="0" fontId="138" fillId="0" borderId="65" xfId="0" applyFont="1" applyBorder="1"/>
    <xf numFmtId="0" fontId="140" fillId="0" borderId="0" xfId="0" applyFont="1" applyAlignment="1">
      <alignment vertical="center"/>
    </xf>
    <xf numFmtId="0" fontId="21" fillId="14" borderId="9" xfId="0" applyFont="1" applyFill="1" applyBorder="1" applyAlignment="1">
      <alignment horizontal="center" vertical="center"/>
    </xf>
    <xf numFmtId="0" fontId="138" fillId="27" borderId="107" xfId="0" applyFont="1" applyFill="1" applyBorder="1"/>
    <xf numFmtId="2" fontId="142" fillId="6" borderId="106" xfId="0" applyNumberFormat="1" applyFont="1" applyFill="1" applyBorder="1"/>
    <xf numFmtId="0" fontId="21" fillId="14" borderId="6" xfId="0" applyFont="1" applyFill="1" applyBorder="1" applyAlignment="1">
      <alignment horizontal="center" vertical="center"/>
    </xf>
    <xf numFmtId="0" fontId="138" fillId="26" borderId="5" xfId="0" applyFont="1" applyFill="1" applyBorder="1"/>
    <xf numFmtId="0" fontId="138" fillId="26" borderId="37" xfId="0" applyFont="1" applyFill="1" applyBorder="1"/>
    <xf numFmtId="0" fontId="142" fillId="33" borderId="7" xfId="0" applyFont="1" applyFill="1" applyBorder="1"/>
    <xf numFmtId="0" fontId="138" fillId="26" borderId="64" xfId="0" applyFont="1" applyFill="1" applyBorder="1"/>
    <xf numFmtId="0" fontId="138" fillId="6" borderId="108" xfId="0" applyFont="1" applyFill="1" applyBorder="1"/>
    <xf numFmtId="0" fontId="138" fillId="6" borderId="61" xfId="0" applyFont="1" applyFill="1" applyBorder="1"/>
    <xf numFmtId="0" fontId="138" fillId="0" borderId="6" xfId="0" applyFont="1" applyBorder="1"/>
    <xf numFmtId="0" fontId="138" fillId="0" borderId="52" xfId="0" applyFont="1" applyBorder="1"/>
    <xf numFmtId="167" fontId="138" fillId="6" borderId="8" xfId="0" applyNumberFormat="1" applyFont="1" applyFill="1" applyBorder="1"/>
    <xf numFmtId="167" fontId="138" fillId="6" borderId="56" xfId="0" applyNumberFormat="1" applyFont="1" applyFill="1" applyBorder="1"/>
    <xf numFmtId="0" fontId="145" fillId="0" borderId="0" xfId="0" applyFont="1"/>
    <xf numFmtId="167" fontId="142" fillId="6" borderId="106" xfId="0" applyNumberFormat="1" applyFont="1" applyFill="1" applyBorder="1"/>
    <xf numFmtId="0" fontId="146" fillId="34" borderId="109" xfId="0" applyFont="1" applyFill="1" applyBorder="1" applyAlignment="1">
      <alignment horizontal="left" vertical="center"/>
    </xf>
    <xf numFmtId="0" fontId="138" fillId="0" borderId="26" xfId="0" applyFont="1" applyBorder="1" applyAlignment="1">
      <alignment horizontal="left" vertical="center"/>
    </xf>
    <xf numFmtId="0" fontId="138" fillId="0" borderId="13" xfId="0" applyFont="1" applyBorder="1" applyAlignment="1">
      <alignment horizontal="left" vertical="center"/>
    </xf>
    <xf numFmtId="0" fontId="138" fillId="0" borderId="29" xfId="0" applyFont="1" applyBorder="1" applyAlignment="1">
      <alignment horizontal="left" vertical="center"/>
    </xf>
    <xf numFmtId="0" fontId="141" fillId="2" borderId="21" xfId="0" applyFont="1" applyFill="1" applyBorder="1" applyAlignment="1">
      <alignment horizontal="center" vertical="center"/>
    </xf>
    <xf numFmtId="0" fontId="21" fillId="14" borderId="65" xfId="0" applyFont="1" applyFill="1" applyBorder="1" applyAlignment="1">
      <alignment horizontal="center" vertical="center"/>
    </xf>
    <xf numFmtId="167" fontId="138" fillId="0" borderId="65" xfId="0" applyNumberFormat="1" applyFont="1" applyBorder="1"/>
    <xf numFmtId="167" fontId="138" fillId="26" borderId="105" xfId="0" applyNumberFormat="1" applyFont="1" applyFill="1" applyBorder="1"/>
    <xf numFmtId="167" fontId="138" fillId="0" borderId="105" xfId="0" applyNumberFormat="1" applyFont="1" applyBorder="1"/>
    <xf numFmtId="167" fontId="138" fillId="0" borderId="64" xfId="0" applyNumberFormat="1" applyFont="1" applyBorder="1"/>
    <xf numFmtId="0" fontId="138" fillId="6" borderId="64" xfId="0" applyFont="1" applyFill="1" applyBorder="1"/>
    <xf numFmtId="167" fontId="138" fillId="6" borderId="108" xfId="0" applyNumberFormat="1" applyFont="1" applyFill="1" applyBorder="1"/>
    <xf numFmtId="167" fontId="142" fillId="0" borderId="12" xfId="0" applyNumberFormat="1" applyFont="1" applyBorder="1"/>
    <xf numFmtId="167" fontId="138" fillId="0" borderId="110" xfId="0" applyNumberFormat="1" applyFont="1" applyBorder="1"/>
    <xf numFmtId="167" fontId="138" fillId="6" borderId="64" xfId="0" applyNumberFormat="1" applyFont="1" applyFill="1" applyBorder="1"/>
    <xf numFmtId="167" fontId="138" fillId="27" borderId="17" xfId="0" applyNumberFormat="1" applyFont="1" applyFill="1" applyBorder="1"/>
    <xf numFmtId="0" fontId="6" fillId="0" borderId="0" xfId="0" applyFont="1"/>
    <xf numFmtId="0" fontId="138" fillId="26" borderId="7" xfId="0" applyFont="1" applyFill="1" applyBorder="1"/>
    <xf numFmtId="167" fontId="142" fillId="6" borderId="64" xfId="0" applyNumberFormat="1" applyFont="1" applyFill="1" applyBorder="1"/>
    <xf numFmtId="167" fontId="142" fillId="6" borderId="56" xfId="0" applyNumberFormat="1" applyFont="1" applyFill="1" applyBorder="1"/>
    <xf numFmtId="0" fontId="0" fillId="7" borderId="0" xfId="0" applyFill="1"/>
    <xf numFmtId="0" fontId="139" fillId="33" borderId="23" xfId="0" applyFont="1" applyFill="1" applyBorder="1" applyAlignment="1">
      <alignment horizontal="center"/>
    </xf>
    <xf numFmtId="0" fontId="142" fillId="33" borderId="105" xfId="0" applyFont="1" applyFill="1" applyBorder="1"/>
    <xf numFmtId="0" fontId="142" fillId="26" borderId="0" xfId="0" applyFont="1" applyFill="1"/>
    <xf numFmtId="0" fontId="142" fillId="33" borderId="64" xfId="0" applyFont="1" applyFill="1" applyBorder="1"/>
    <xf numFmtId="0" fontId="142" fillId="26" borderId="56" xfId="0" applyFont="1" applyFill="1" applyBorder="1"/>
    <xf numFmtId="0" fontId="138" fillId="0" borderId="56" xfId="0" applyFont="1" applyBorder="1"/>
    <xf numFmtId="0" fontId="147" fillId="33" borderId="19" xfId="0" applyFont="1" applyFill="1" applyBorder="1"/>
    <xf numFmtId="0" fontId="142" fillId="26" borderId="19" xfId="0" applyFont="1" applyFill="1" applyBorder="1"/>
    <xf numFmtId="0" fontId="142" fillId="6" borderId="23" xfId="0" applyFont="1" applyFill="1" applyBorder="1"/>
    <xf numFmtId="0" fontId="142" fillId="6" borderId="33" xfId="0" applyFont="1" applyFill="1" applyBorder="1"/>
    <xf numFmtId="0" fontId="147" fillId="0" borderId="0" xfId="0" applyFont="1"/>
    <xf numFmtId="0" fontId="19" fillId="3" borderId="1" xfId="0" applyFont="1" applyFill="1" applyBorder="1" applyAlignment="1">
      <alignment horizontal="left" vertical="center"/>
    </xf>
    <xf numFmtId="0" fontId="19" fillId="4" borderId="1" xfId="0" applyFont="1" applyFill="1" applyBorder="1" applyAlignment="1">
      <alignment horizontal="left" vertical="center"/>
    </xf>
    <xf numFmtId="166" fontId="74" fillId="6" borderId="34" xfId="0" applyNumberFormat="1" applyFont="1" applyFill="1" applyBorder="1" applyAlignment="1">
      <alignment horizontal="center" vertical="center" wrapText="1"/>
    </xf>
    <xf numFmtId="0" fontId="0" fillId="6" borderId="13" xfId="0" applyFill="1" applyBorder="1" applyAlignment="1">
      <alignment horizontal="center" vertical="center"/>
    </xf>
    <xf numFmtId="2" fontId="74" fillId="6" borderId="34" xfId="0" applyNumberFormat="1" applyFont="1" applyFill="1" applyBorder="1" applyAlignment="1">
      <alignment horizontal="center" vertical="center" wrapText="1"/>
    </xf>
    <xf numFmtId="0" fontId="0" fillId="6" borderId="29" xfId="0" applyFill="1" applyBorder="1" applyAlignment="1">
      <alignment horizontal="center" vertical="center"/>
    </xf>
    <xf numFmtId="2" fontId="74" fillId="0" borderId="0" xfId="0" applyNumberFormat="1" applyFont="1" applyAlignment="1">
      <alignment horizontal="center" vertical="center"/>
    </xf>
    <xf numFmtId="2" fontId="91" fillId="0" borderId="0" xfId="0" applyNumberFormat="1" applyFont="1" applyAlignment="1">
      <alignment horizontal="left"/>
    </xf>
    <xf numFmtId="0" fontId="92" fillId="22" borderId="26" xfId="0" applyFont="1" applyFill="1" applyBorder="1" applyAlignment="1">
      <alignment horizontal="left" vertical="center" wrapText="1"/>
    </xf>
    <xf numFmtId="0" fontId="92" fillId="22" borderId="27" xfId="0" applyFont="1" applyFill="1" applyBorder="1" applyAlignment="1">
      <alignment horizontal="left" vertical="center" wrapText="1"/>
    </xf>
    <xf numFmtId="0" fontId="92" fillId="2" borderId="27" xfId="0" applyFont="1" applyFill="1" applyBorder="1" applyAlignment="1">
      <alignment horizontal="left" vertical="center" wrapText="1"/>
    </xf>
    <xf numFmtId="0" fontId="92" fillId="2" borderId="28" xfId="0" applyFont="1" applyFill="1" applyBorder="1" applyAlignment="1">
      <alignment horizontal="left" vertical="center" wrapText="1"/>
    </xf>
    <xf numFmtId="0" fontId="77" fillId="4" borderId="13" xfId="0" applyFont="1" applyFill="1" applyBorder="1"/>
    <xf numFmtId="0" fontId="77" fillId="4" borderId="14" xfId="0" applyFont="1" applyFill="1" applyBorder="1"/>
    <xf numFmtId="0" fontId="105" fillId="0" borderId="13" xfId="0" applyFont="1" applyBorder="1"/>
    <xf numFmtId="0" fontId="105" fillId="0" borderId="14" xfId="0" applyFont="1" applyBorder="1"/>
    <xf numFmtId="0" fontId="105" fillId="6" borderId="29" xfId="0" applyFont="1" applyFill="1" applyBorder="1"/>
    <xf numFmtId="0" fontId="105" fillId="6" borderId="30" xfId="0" applyFont="1" applyFill="1" applyBorder="1"/>
    <xf numFmtId="0" fontId="105" fillId="6" borderId="31" xfId="0" applyFont="1" applyFill="1" applyBorder="1"/>
    <xf numFmtId="0" fontId="92" fillId="22" borderId="26" xfId="0" applyFont="1" applyFill="1" applyBorder="1" applyAlignment="1">
      <alignment horizontal="left" vertical="center"/>
    </xf>
    <xf numFmtId="0" fontId="92" fillId="22" borderId="62" xfId="0" applyFont="1" applyFill="1" applyBorder="1" applyAlignment="1">
      <alignment horizontal="center" vertical="center"/>
    </xf>
    <xf numFmtId="0" fontId="92" fillId="2" borderId="53" xfId="0" applyFont="1" applyFill="1" applyBorder="1" applyAlignment="1">
      <alignment horizontal="center" vertical="center" wrapText="1"/>
    </xf>
    <xf numFmtId="0" fontId="92" fillId="18" borderId="28" xfId="0" applyFont="1" applyFill="1" applyBorder="1" applyAlignment="1">
      <alignment horizontal="center" vertical="center"/>
    </xf>
    <xf numFmtId="0" fontId="74" fillId="4" borderId="13" xfId="0" applyFont="1" applyFill="1" applyBorder="1" applyAlignment="1">
      <alignment vertical="center" wrapText="1"/>
    </xf>
    <xf numFmtId="0" fontId="74" fillId="4" borderId="14" xfId="0" applyFont="1" applyFill="1" applyBorder="1" applyAlignment="1">
      <alignment horizontal="center" vertical="center" wrapText="1"/>
    </xf>
    <xf numFmtId="0" fontId="74" fillId="0" borderId="13" xfId="0" applyFont="1" applyBorder="1" applyAlignment="1">
      <alignment vertical="center"/>
    </xf>
    <xf numFmtId="2" fontId="74" fillId="0" borderId="14" xfId="0" applyNumberFormat="1" applyFont="1" applyBorder="1" applyAlignment="1">
      <alignment horizontal="center" vertical="center"/>
    </xf>
    <xf numFmtId="0" fontId="74" fillId="0" borderId="29" xfId="0" applyFont="1" applyBorder="1" applyAlignment="1">
      <alignment vertical="center"/>
    </xf>
    <xf numFmtId="0" fontId="74" fillId="0" borderId="111" xfId="0" applyFont="1" applyBorder="1" applyAlignment="1">
      <alignment horizontal="center" vertical="center"/>
    </xf>
    <xf numFmtId="2" fontId="74" fillId="6" borderId="32" xfId="0" applyNumberFormat="1" applyFont="1" applyFill="1" applyBorder="1" applyAlignment="1">
      <alignment horizontal="center" vertical="center"/>
    </xf>
    <xf numFmtId="0" fontId="74" fillId="6" borderId="40" xfId="0" applyFont="1" applyFill="1" applyBorder="1" applyAlignment="1">
      <alignment horizontal="center" vertical="center"/>
    </xf>
    <xf numFmtId="0" fontId="74" fillId="6" borderId="31" xfId="0" applyFont="1" applyFill="1" applyBorder="1" applyAlignment="1">
      <alignment horizontal="center" vertical="center"/>
    </xf>
    <xf numFmtId="0" fontId="130" fillId="8" borderId="0" xfId="11" applyFont="1" applyFill="1" applyAlignment="1">
      <alignment horizontal="center"/>
    </xf>
    <xf numFmtId="0" fontId="131" fillId="8" borderId="0" xfId="11" applyFont="1" applyFill="1" applyAlignment="1">
      <alignment horizontal="center"/>
    </xf>
    <xf numFmtId="0" fontId="126" fillId="8" borderId="0" xfId="11" applyFont="1" applyFill="1" applyAlignment="1">
      <alignment horizontal="center"/>
    </xf>
    <xf numFmtId="0" fontId="128" fillId="8" borderId="0" xfId="11" applyFont="1" applyFill="1" applyAlignment="1">
      <alignment horizontal="left"/>
    </xf>
    <xf numFmtId="0" fontId="128" fillId="8" borderId="0" xfId="11" applyFont="1" applyFill="1" applyAlignment="1">
      <alignment horizontal="left" indent="2"/>
    </xf>
    <xf numFmtId="0" fontId="74" fillId="0" borderId="2" xfId="0" applyFont="1" applyBorder="1" applyAlignment="1">
      <alignment horizontal="center"/>
    </xf>
    <xf numFmtId="0" fontId="74" fillId="0" borderId="39" xfId="0" applyFont="1" applyBorder="1" applyAlignment="1">
      <alignment horizontal="center"/>
    </xf>
    <xf numFmtId="0" fontId="95" fillId="0" borderId="39" xfId="0" applyFont="1" applyBorder="1" applyAlignment="1">
      <alignment horizontal="center" vertical="center"/>
    </xf>
    <xf numFmtId="0" fontId="95" fillId="0" borderId="1" xfId="0" applyFont="1" applyBorder="1" applyAlignment="1">
      <alignment horizontal="center" vertical="center"/>
    </xf>
    <xf numFmtId="0" fontId="95" fillId="0" borderId="1" xfId="0" applyFont="1" applyBorder="1" applyAlignment="1">
      <alignment horizontal="center" vertical="center" wrapText="1"/>
    </xf>
    <xf numFmtId="0" fontId="123" fillId="11" borderId="1" xfId="0" applyFont="1" applyFill="1" applyBorder="1" applyAlignment="1">
      <alignment horizontal="center" vertical="center" wrapText="1"/>
    </xf>
    <xf numFmtId="0" fontId="76" fillId="11" borderId="36" xfId="0" applyFont="1" applyFill="1" applyBorder="1" applyAlignment="1">
      <alignment horizontal="center" vertical="center" wrapText="1"/>
    </xf>
    <xf numFmtId="0" fontId="118" fillId="11" borderId="26" xfId="0" applyFont="1" applyFill="1" applyBorder="1" applyAlignment="1">
      <alignment horizontal="center" vertical="center"/>
    </xf>
    <xf numFmtId="0" fontId="118" fillId="11" borderId="27" xfId="0" applyFont="1" applyFill="1" applyBorder="1" applyAlignment="1">
      <alignment horizontal="center" vertical="center"/>
    </xf>
    <xf numFmtId="0" fontId="118" fillId="11" borderId="28" xfId="0" applyFont="1" applyFill="1" applyBorder="1" applyAlignment="1">
      <alignment horizontal="center" vertical="center"/>
    </xf>
    <xf numFmtId="0" fontId="119" fillId="11" borderId="101" xfId="0" applyFont="1" applyFill="1" applyBorder="1" applyAlignment="1">
      <alignment horizontal="center" vertical="center"/>
    </xf>
    <xf numFmtId="0" fontId="119" fillId="11" borderId="25" xfId="0" applyFont="1" applyFill="1" applyBorder="1" applyAlignment="1">
      <alignment horizontal="center" vertical="center"/>
    </xf>
    <xf numFmtId="0" fontId="76" fillId="11" borderId="26" xfId="0" applyFont="1" applyFill="1" applyBorder="1" applyAlignment="1">
      <alignment horizontal="center" vertical="center"/>
    </xf>
    <xf numFmtId="0" fontId="76" fillId="11" borderId="27" xfId="0" applyFont="1" applyFill="1" applyBorder="1" applyAlignment="1">
      <alignment horizontal="center" vertical="center"/>
    </xf>
    <xf numFmtId="0" fontId="76" fillId="11" borderId="28" xfId="0" applyFont="1" applyFill="1" applyBorder="1" applyAlignment="1">
      <alignment horizontal="center" vertical="center"/>
    </xf>
    <xf numFmtId="0" fontId="76" fillId="11" borderId="34" xfId="0" applyFont="1" applyFill="1" applyBorder="1" applyAlignment="1">
      <alignment horizontal="center" vertical="center" wrapText="1"/>
    </xf>
    <xf numFmtId="0" fontId="76" fillId="11" borderId="12" xfId="0" applyFont="1" applyFill="1" applyBorder="1" applyAlignment="1">
      <alignment horizontal="center" vertical="center" wrapText="1"/>
    </xf>
    <xf numFmtId="0" fontId="76" fillId="11" borderId="17" xfId="0" applyFont="1" applyFill="1" applyBorder="1" applyAlignment="1">
      <alignment horizontal="center" vertical="center" wrapText="1"/>
    </xf>
    <xf numFmtId="0" fontId="19" fillId="0" borderId="52" xfId="0" applyFont="1" applyBorder="1" applyAlignment="1">
      <alignment horizontal="left" vertical="center"/>
    </xf>
    <xf numFmtId="0" fontId="19" fillId="0" borderId="0" xfId="0" applyFont="1" applyAlignment="1">
      <alignment horizontal="left" vertical="center"/>
    </xf>
    <xf numFmtId="0" fontId="2" fillId="0" borderId="0" xfId="6" applyAlignment="1">
      <alignment horizontal="center"/>
    </xf>
    <xf numFmtId="0" fontId="2" fillId="0" borderId="0" xfId="6" applyAlignment="1" applyProtection="1">
      <alignment horizontal="center"/>
      <protection locked="0"/>
    </xf>
    <xf numFmtId="0" fontId="131" fillId="8" borderId="19" xfId="11" applyFont="1" applyFill="1" applyBorder="1" applyAlignment="1">
      <alignment horizontal="center"/>
    </xf>
    <xf numFmtId="0" fontId="131" fillId="8" borderId="33" xfId="11" applyFont="1" applyFill="1" applyBorder="1" applyAlignment="1">
      <alignment horizontal="center"/>
    </xf>
    <xf numFmtId="0" fontId="131" fillId="8" borderId="9" xfId="11" applyFont="1" applyFill="1" applyBorder="1" applyAlignment="1">
      <alignment horizontal="center"/>
    </xf>
    <xf numFmtId="0" fontId="136" fillId="8" borderId="19" xfId="11" applyFont="1" applyFill="1" applyBorder="1" applyAlignment="1">
      <alignment horizontal="left" wrapText="1" indent="2"/>
    </xf>
    <xf numFmtId="0" fontId="137" fillId="8" borderId="33" xfId="11" applyFont="1" applyFill="1" applyBorder="1" applyAlignment="1">
      <alignment horizontal="left" indent="2"/>
    </xf>
    <xf numFmtId="0" fontId="137" fillId="8" borderId="9" xfId="11" applyFont="1" applyFill="1" applyBorder="1" applyAlignment="1">
      <alignment horizontal="left" indent="2"/>
    </xf>
    <xf numFmtId="0" fontId="67" fillId="0" borderId="19" xfId="30" applyFont="1" applyBorder="1" applyAlignment="1">
      <alignment horizontal="center" vertical="center"/>
    </xf>
    <xf numFmtId="0" fontId="67" fillId="0" borderId="33" xfId="30" applyFont="1" applyBorder="1" applyAlignment="1">
      <alignment horizontal="center" vertical="center"/>
    </xf>
    <xf numFmtId="0" fontId="67" fillId="0" borderId="9" xfId="30" applyFont="1" applyBorder="1" applyAlignment="1">
      <alignment horizontal="center" vertical="center"/>
    </xf>
    <xf numFmtId="0" fontId="68" fillId="26" borderId="19" xfId="30" applyFont="1" applyFill="1" applyBorder="1" applyAlignment="1">
      <alignment horizontal="center" wrapText="1" readingOrder="1"/>
    </xf>
    <xf numFmtId="0" fontId="68" fillId="26" borderId="33" xfId="30" applyFont="1" applyFill="1" applyBorder="1" applyAlignment="1">
      <alignment horizontal="center" wrapText="1" readingOrder="1"/>
    </xf>
    <xf numFmtId="0" fontId="68" fillId="26" borderId="9" xfId="30" applyFont="1" applyFill="1" applyBorder="1" applyAlignment="1">
      <alignment horizontal="center" wrapText="1" readingOrder="1"/>
    </xf>
    <xf numFmtId="0" fontId="68" fillId="0" borderId="19" xfId="30" applyFont="1" applyBorder="1" applyAlignment="1">
      <alignment horizontal="center" vertical="center" wrapText="1" readingOrder="1"/>
    </xf>
    <xf numFmtId="0" fontId="68" fillId="0" borderId="33" xfId="30" applyFont="1" applyBorder="1" applyAlignment="1">
      <alignment horizontal="center" vertical="center" wrapText="1" readingOrder="1"/>
    </xf>
    <xf numFmtId="0" fontId="68" fillId="0" borderId="9" xfId="30" applyFont="1" applyBorder="1" applyAlignment="1">
      <alignment horizontal="center" vertical="center" wrapText="1" readingOrder="1"/>
    </xf>
    <xf numFmtId="0" fontId="0" fillId="0" borderId="0" xfId="0" applyAlignment="1">
      <alignment horizontal="center"/>
    </xf>
    <xf numFmtId="0" fontId="0" fillId="0" borderId="0" xfId="0" applyAlignment="1" applyProtection="1">
      <alignment horizontal="center"/>
      <protection locked="0"/>
    </xf>
    <xf numFmtId="167" fontId="62" fillId="18" borderId="0" xfId="0" applyNumberFormat="1" applyFont="1" applyFill="1" applyAlignment="1">
      <alignment horizontal="center" vertical="center"/>
    </xf>
    <xf numFmtId="0" fontId="54" fillId="11" borderId="19" xfId="6" applyFont="1" applyFill="1" applyBorder="1" applyAlignment="1">
      <alignment horizontal="center" vertical="center"/>
    </xf>
    <xf numFmtId="0" fontId="54" fillId="11" borderId="33" xfId="6" applyFont="1" applyFill="1" applyBorder="1" applyAlignment="1">
      <alignment horizontal="center" vertical="center"/>
    </xf>
    <xf numFmtId="0" fontId="54" fillId="11" borderId="9" xfId="6" applyFont="1" applyFill="1" applyBorder="1" applyAlignment="1">
      <alignment horizontal="center" vertical="center"/>
    </xf>
    <xf numFmtId="49" fontId="62" fillId="18" borderId="0" xfId="0" applyNumberFormat="1" applyFont="1" applyFill="1" applyAlignment="1">
      <alignment horizontal="center" vertical="center"/>
    </xf>
    <xf numFmtId="0" fontId="46" fillId="13" borderId="45" xfId="6" applyFont="1" applyFill="1" applyBorder="1" applyAlignment="1">
      <alignment horizontal="left" vertical="center"/>
    </xf>
    <xf numFmtId="0" fontId="48" fillId="13" borderId="44" xfId="6" applyFont="1" applyFill="1" applyBorder="1" applyAlignment="1">
      <alignment horizontal="right" vertical="top" wrapText="1"/>
    </xf>
    <xf numFmtId="0" fontId="48" fillId="13" borderId="46" xfId="6" applyFont="1" applyFill="1" applyBorder="1" applyAlignment="1">
      <alignment horizontal="right" vertical="top" wrapText="1"/>
    </xf>
    <xf numFmtId="0" fontId="49" fillId="13" borderId="47" xfId="6" applyFont="1" applyFill="1" applyBorder="1" applyAlignment="1">
      <alignment horizontal="left" vertical="center" wrapText="1"/>
    </xf>
    <xf numFmtId="0" fontId="23" fillId="0" borderId="45" xfId="6" applyFont="1" applyBorder="1" applyAlignment="1"/>
  </cellXfs>
  <cellStyles count="33">
    <cellStyle name="Comma 2" xfId="7" xr:uid="{00000000-0005-0000-0000-000001000000}"/>
    <cellStyle name="Comma 2 2" xfId="20" xr:uid="{00000000-0005-0000-0000-000002000000}"/>
    <cellStyle name="Comma 3" xfId="21" xr:uid="{00000000-0005-0000-0000-000003000000}"/>
    <cellStyle name="Comma 4" xfId="18" xr:uid="{00000000-0005-0000-0000-000004000000}"/>
    <cellStyle name="Comma 5" xfId="32" xr:uid="{11FDB2F8-C844-4601-833C-5C112199FA33}"/>
    <cellStyle name="Comma_Energy balance" xfId="1" xr:uid="{00000000-0005-0000-0000-000005000000}"/>
    <cellStyle name="Heading" xfId="14" xr:uid="{00000000-0005-0000-0000-000006000000}"/>
    <cellStyle name="Heading 5" xfId="22" xr:uid="{00000000-0005-0000-0000-000007000000}"/>
    <cellStyle name="Hyperlink 2" xfId="10" xr:uid="{00000000-0005-0000-0000-000009000000}"/>
    <cellStyle name="Hyperlink 2 2" xfId="24" xr:uid="{00000000-0005-0000-0000-00000A000000}"/>
    <cellStyle name="Hyperlink 3" xfId="8" xr:uid="{00000000-0005-0000-0000-00000B000000}"/>
    <cellStyle name="Hyperlink 4" xfId="15" xr:uid="{00000000-0005-0000-0000-00000C000000}"/>
    <cellStyle name="Hyperlink 5" xfId="23" xr:uid="{00000000-0005-0000-0000-00000D000000}"/>
    <cellStyle name="Hyperlink 6" xfId="29" xr:uid="{00000000-0005-0000-0000-00000E000000}"/>
    <cellStyle name="Link" xfId="3" builtinId="8"/>
    <cellStyle name="Normal 2" xfId="6" xr:uid="{00000000-0005-0000-0000-000010000000}"/>
    <cellStyle name="Normal 2 2" xfId="16" xr:uid="{00000000-0005-0000-0000-000011000000}"/>
    <cellStyle name="Normal 2 3" xfId="25" xr:uid="{00000000-0005-0000-0000-000012000000}"/>
    <cellStyle name="Normal 3" xfId="9" xr:uid="{00000000-0005-0000-0000-000013000000}"/>
    <cellStyle name="Normal 4" xfId="4" xr:uid="{00000000-0005-0000-0000-000014000000}"/>
    <cellStyle name="Normal 5" xfId="11" xr:uid="{00000000-0005-0000-0000-000015000000}"/>
    <cellStyle name="Normal 6" xfId="13" xr:uid="{00000000-0005-0000-0000-000016000000}"/>
    <cellStyle name="Normal 7" xfId="17" xr:uid="{00000000-0005-0000-0000-000017000000}"/>
    <cellStyle name="Normal_Energy balance" xfId="2" xr:uid="{00000000-0005-0000-0000-00001B000000}"/>
    <cellStyle name="Percent 2" xfId="5" xr:uid="{00000000-0005-0000-0000-00001D000000}"/>
    <cellStyle name="Percent 3" xfId="19" xr:uid="{00000000-0005-0000-0000-00001E000000}"/>
    <cellStyle name="Prozent" xfId="12" builtinId="5"/>
    <cellStyle name="Prozent 3" xfId="31" xr:uid="{CB9437C2-DB3A-428E-B3E1-D1436C21ED3E}"/>
    <cellStyle name="Publication_style" xfId="26" xr:uid="{00000000-0005-0000-0000-00001F000000}"/>
    <cellStyle name="Refdb standard" xfId="27" xr:uid="{00000000-0005-0000-0000-000020000000}"/>
    <cellStyle name="Source" xfId="28" xr:uid="{00000000-0005-0000-0000-000021000000}"/>
    <cellStyle name="Standard" xfId="0" builtinId="0"/>
    <cellStyle name="Standard 4 2" xfId="30" xr:uid="{6FDA9893-E368-48A3-9138-A429FCEE21E0}"/>
  </cellStyles>
  <dxfs count="1">
    <dxf>
      <font>
        <color rgb="FF9C0006"/>
      </font>
      <fill>
        <patternFill>
          <bgColor rgb="FFFFC7CE"/>
        </patternFill>
      </fill>
    </dxf>
  </dxfs>
  <tableStyles count="0" defaultTableStyle="TableStyleMedium2" defaultPivotStyle="PivotStyleLight16"/>
  <colors>
    <mruColors>
      <color rgb="FF004A82"/>
      <color rgb="FFFFE1E1"/>
      <color rgb="FFFCBAC8"/>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Energy carrier type, Traiskirchen, 2018</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481482453177316"/>
          <c:y val="0.20467917535325458"/>
          <c:w val="0.41870021349372144"/>
          <c:h val="0.69860959874803696"/>
        </c:manualLayout>
      </c:layout>
      <c:pieChart>
        <c:varyColors val="1"/>
        <c:ser>
          <c:idx val="0"/>
          <c:order val="0"/>
          <c:dPt>
            <c:idx val="0"/>
            <c:bubble3D val="0"/>
            <c:spPr>
              <a:solidFill>
                <a:srgbClr val="FFC000"/>
              </a:solidFill>
              <a:ln w="19050">
                <a:solidFill>
                  <a:schemeClr val="lt1"/>
                </a:solidFill>
              </a:ln>
              <a:effectLst/>
            </c:spPr>
            <c:extLst>
              <c:ext xmlns:c16="http://schemas.microsoft.com/office/drawing/2014/chart" uri="{C3380CC4-5D6E-409C-BE32-E72D297353CC}">
                <c16:uniqueId val="{00000001-8850-42A0-8B32-7CC9D6E0132D}"/>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850-42A0-8B32-7CC9D6E013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for energy balances'!$C$37:$D$37</c:f>
              <c:strCache>
                <c:ptCount val="2"/>
                <c:pt idx="0">
                  <c:v>Fossil energy carrier</c:v>
                </c:pt>
                <c:pt idx="1">
                  <c:v>Renewable energy carrier</c:v>
                </c:pt>
              </c:strCache>
            </c:strRef>
          </c:cat>
          <c:val>
            <c:numRef>
              <c:f>'Example for energy balances'!$C$39:$D$39</c:f>
              <c:numCache>
                <c:formatCode>0.00%</c:formatCode>
                <c:ptCount val="2"/>
                <c:pt idx="0">
                  <c:v>0.61396594691309148</c:v>
                </c:pt>
                <c:pt idx="1">
                  <c:v>0.38603405308690852</c:v>
                </c:pt>
              </c:numCache>
            </c:numRef>
          </c:val>
          <c:extLst>
            <c:ext xmlns:c16="http://schemas.microsoft.com/office/drawing/2014/chart" uri="{C3380CC4-5D6E-409C-BE32-E72D297353CC}">
              <c16:uniqueId val="{00000004-8850-42A0-8B32-7CC9D6E0132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1771033722825463"/>
          <c:y val="0.92182016163893343"/>
          <c:w val="0.6457932554349074"/>
          <c:h val="7.817983836106658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26</xdr:row>
      <xdr:rowOff>0</xdr:rowOff>
    </xdr:from>
    <xdr:to>
      <xdr:col>6</xdr:col>
      <xdr:colOff>304800</xdr:colOff>
      <xdr:row>27</xdr:row>
      <xdr:rowOff>90054</xdr:rowOff>
    </xdr:to>
    <xdr:sp macro="" textlink="">
      <xdr:nvSpPr>
        <xdr:cNvPr id="2" name="AutoShape 3">
          <a:extLst>
            <a:ext uri="{FF2B5EF4-FFF2-40B4-BE49-F238E27FC236}">
              <a16:creationId xmlns:a16="http://schemas.microsoft.com/office/drawing/2014/main" id="{C88A93B0-2FE4-4A38-BB2F-5A727FF4DEA9}"/>
            </a:ext>
          </a:extLst>
        </xdr:cNvPr>
        <xdr:cNvSpPr>
          <a:spLocks noChangeAspect="1" noChangeArrowheads="1"/>
        </xdr:cNvSpPr>
      </xdr:nvSpPr>
      <xdr:spPr bwMode="auto">
        <a:xfrm>
          <a:off x="4061460" y="5783580"/>
          <a:ext cx="304800" cy="3110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xdr:row>
      <xdr:rowOff>0</xdr:rowOff>
    </xdr:from>
    <xdr:to>
      <xdr:col>6</xdr:col>
      <xdr:colOff>304800</xdr:colOff>
      <xdr:row>27</xdr:row>
      <xdr:rowOff>90054</xdr:rowOff>
    </xdr:to>
    <xdr:sp macro="" textlink="">
      <xdr:nvSpPr>
        <xdr:cNvPr id="3" name="AutoShape 4">
          <a:extLst>
            <a:ext uri="{FF2B5EF4-FFF2-40B4-BE49-F238E27FC236}">
              <a16:creationId xmlns:a16="http://schemas.microsoft.com/office/drawing/2014/main" id="{74EA68E0-6267-4CAC-8C6D-C36EC0AD06B6}"/>
            </a:ext>
          </a:extLst>
        </xdr:cNvPr>
        <xdr:cNvSpPr>
          <a:spLocks noChangeAspect="1" noChangeArrowheads="1"/>
        </xdr:cNvSpPr>
      </xdr:nvSpPr>
      <xdr:spPr bwMode="auto">
        <a:xfrm>
          <a:off x="4061460" y="5783580"/>
          <a:ext cx="304800" cy="3110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26</xdr:row>
      <xdr:rowOff>0</xdr:rowOff>
    </xdr:from>
    <xdr:to>
      <xdr:col>5</xdr:col>
      <xdr:colOff>304800</xdr:colOff>
      <xdr:row>27</xdr:row>
      <xdr:rowOff>90054</xdr:rowOff>
    </xdr:to>
    <xdr:sp macro="" textlink="">
      <xdr:nvSpPr>
        <xdr:cNvPr id="4" name="AutoShape 7">
          <a:extLst>
            <a:ext uri="{FF2B5EF4-FFF2-40B4-BE49-F238E27FC236}">
              <a16:creationId xmlns:a16="http://schemas.microsoft.com/office/drawing/2014/main" id="{B8EC4B1B-63C3-4945-9BA2-E56E543465C6}"/>
            </a:ext>
          </a:extLst>
        </xdr:cNvPr>
        <xdr:cNvSpPr>
          <a:spLocks noChangeAspect="1" noChangeArrowheads="1"/>
        </xdr:cNvSpPr>
      </xdr:nvSpPr>
      <xdr:spPr bwMode="auto">
        <a:xfrm>
          <a:off x="3413760" y="5783580"/>
          <a:ext cx="304800" cy="3110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555170</xdr:colOff>
      <xdr:row>59</xdr:row>
      <xdr:rowOff>145471</xdr:rowOff>
    </xdr:from>
    <xdr:to>
      <xdr:col>29</xdr:col>
      <xdr:colOff>272143</xdr:colOff>
      <xdr:row>87</xdr:row>
      <xdr:rowOff>15513</xdr:rowOff>
    </xdr:to>
    <xdr:pic>
      <xdr:nvPicPr>
        <xdr:cNvPr id="5" name="Picture 4">
          <a:extLst>
            <a:ext uri="{FF2B5EF4-FFF2-40B4-BE49-F238E27FC236}">
              <a16:creationId xmlns:a16="http://schemas.microsoft.com/office/drawing/2014/main" id="{CDF07AFA-B083-4728-B49A-9A9D08B208C3}"/>
            </a:ext>
          </a:extLst>
        </xdr:cNvPr>
        <xdr:cNvPicPr>
          <a:picLocks noChangeAspect="1"/>
        </xdr:cNvPicPr>
      </xdr:nvPicPr>
      <xdr:blipFill>
        <a:blip xmlns:r="http://schemas.openxmlformats.org/officeDocument/2006/relationships" r:embed="rId1"/>
        <a:stretch>
          <a:fillRect/>
        </a:stretch>
      </xdr:blipFill>
      <xdr:spPr>
        <a:xfrm>
          <a:off x="10197934" y="12337471"/>
          <a:ext cx="8860973" cy="4566733"/>
        </a:xfrm>
        <a:prstGeom prst="rect">
          <a:avLst/>
        </a:prstGeom>
      </xdr:spPr>
    </xdr:pic>
    <xdr:clientData/>
  </xdr:twoCellAnchor>
  <xdr:twoCellAnchor>
    <xdr:from>
      <xdr:col>1</xdr:col>
      <xdr:colOff>10886</xdr:colOff>
      <xdr:row>14</xdr:row>
      <xdr:rowOff>87086</xdr:rowOff>
    </xdr:from>
    <xdr:to>
      <xdr:col>14</xdr:col>
      <xdr:colOff>10886</xdr:colOff>
      <xdr:row>17</xdr:row>
      <xdr:rowOff>250372</xdr:rowOff>
    </xdr:to>
    <xdr:sp macro="" textlink="">
      <xdr:nvSpPr>
        <xdr:cNvPr id="6" name="Textfeld 1">
          <a:extLst>
            <a:ext uri="{FF2B5EF4-FFF2-40B4-BE49-F238E27FC236}">
              <a16:creationId xmlns:a16="http://schemas.microsoft.com/office/drawing/2014/main" id="{C2F0908B-9FF0-4994-9693-10E2A9081550}"/>
            </a:ext>
          </a:extLst>
        </xdr:cNvPr>
        <xdr:cNvSpPr txBox="1"/>
      </xdr:nvSpPr>
      <xdr:spPr>
        <a:xfrm>
          <a:off x="521426" y="2936966"/>
          <a:ext cx="9121140" cy="666206"/>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i="1" u="none">
              <a:solidFill>
                <a:schemeClr val="bg2">
                  <a:lumMod val="75000"/>
                </a:schemeClr>
              </a:solidFill>
              <a:effectLst/>
              <a:latin typeface="+mn-lt"/>
              <a:ea typeface="+mn-ea"/>
              <a:cs typeface="+mn-cs"/>
            </a:rPr>
            <a:t>Name of the city ... </a:t>
          </a:r>
          <a:endParaRPr lang="en-US" sz="1800" i="1" u="none">
            <a:solidFill>
              <a:schemeClr val="bg2">
                <a:lumMod val="75000"/>
              </a:schemeClr>
            </a:solidFill>
            <a:effectLst/>
            <a:latin typeface="+mn-lt"/>
            <a:ea typeface="+mn-ea"/>
            <a:cs typeface="+mn-cs"/>
          </a:endParaRPr>
        </a:p>
        <a:p>
          <a:endParaRPr lang="en-US" sz="1100"/>
        </a:p>
      </xdr:txBody>
    </xdr:sp>
    <xdr:clientData/>
  </xdr:twoCellAnchor>
  <xdr:twoCellAnchor>
    <xdr:from>
      <xdr:col>1</xdr:col>
      <xdr:colOff>21770</xdr:colOff>
      <xdr:row>38</xdr:row>
      <xdr:rowOff>97970</xdr:rowOff>
    </xdr:from>
    <xdr:to>
      <xdr:col>13</xdr:col>
      <xdr:colOff>598713</xdr:colOff>
      <xdr:row>58</xdr:row>
      <xdr:rowOff>108857</xdr:rowOff>
    </xdr:to>
    <xdr:sp macro="" textlink="">
      <xdr:nvSpPr>
        <xdr:cNvPr id="7" name="Textfeld 1">
          <a:extLst>
            <a:ext uri="{FF2B5EF4-FFF2-40B4-BE49-F238E27FC236}">
              <a16:creationId xmlns:a16="http://schemas.microsoft.com/office/drawing/2014/main" id="{5B014C92-16B0-49D4-8E8C-4951CC4E1354}"/>
            </a:ext>
          </a:extLst>
        </xdr:cNvPr>
        <xdr:cNvSpPr txBox="1"/>
      </xdr:nvSpPr>
      <xdr:spPr>
        <a:xfrm>
          <a:off x="532310" y="8540930"/>
          <a:ext cx="9088483" cy="3630387"/>
        </a:xfrm>
        <a:prstGeom prst="rect">
          <a:avLst/>
        </a:prstGeom>
        <a:solidFill>
          <a:schemeClr val="bg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cap="all" baseline="0">
              <a:solidFill>
                <a:schemeClr val="dk1"/>
              </a:solidFill>
              <a:effectLst/>
              <a:latin typeface="+mn-lt"/>
              <a:ea typeface="+mn-ea"/>
              <a:cs typeface="+mn-cs"/>
            </a:rPr>
            <a:t>WP4 </a:t>
          </a:r>
          <a:r>
            <a:rPr lang="en-US" sz="1600" b="1">
              <a:solidFill>
                <a:schemeClr val="dk1"/>
              </a:solidFill>
              <a:effectLst/>
              <a:latin typeface="+mn-lt"/>
              <a:ea typeface="+mn-ea"/>
              <a:cs typeface="+mn-cs"/>
            </a:rPr>
            <a:t>: Pilots case studies, clean energy strategies preparation </a:t>
          </a:r>
        </a:p>
        <a:p>
          <a:r>
            <a:rPr lang="en-US" sz="1400" baseline="0">
              <a:solidFill>
                <a:schemeClr val="dk1"/>
              </a:solidFill>
              <a:effectLst/>
              <a:latin typeface="+mn-lt"/>
              <a:ea typeface="+mn-ea"/>
              <a:cs typeface="+mn-cs"/>
            </a:rPr>
            <a:t>WP4 aims to establish a standardized innovative planning process to prepare city case studies and formulate comprehensive and long-term sustainable energy strategies and plans for the clean energy transition including the provision of related databases for the pilot cities.</a:t>
          </a:r>
        </a:p>
        <a:p>
          <a:endParaRPr lang="en-US" sz="1400"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Objectives</a:t>
          </a:r>
        </a:p>
        <a:p>
          <a:pPr rtl="0" eaLnBrk="1" fontAlgn="base" hangingPunct="1"/>
          <a:r>
            <a:rPr lang="en-GB" sz="1400" baseline="0">
              <a:solidFill>
                <a:schemeClr val="dk1"/>
              </a:solidFill>
              <a:effectLst/>
              <a:latin typeface="+mn-lt"/>
              <a:ea typeface="+mn-ea"/>
              <a:cs typeface="+mn-cs"/>
            </a:rPr>
            <a:t>1- Mapping current energy demand-supply of each pilot and preparing energy balance and CO2-emission inventory</a:t>
          </a:r>
          <a:endParaRPr lang="de-DE" sz="1400">
            <a:effectLst/>
          </a:endParaRPr>
        </a:p>
        <a:p>
          <a:pPr rtl="0" eaLnBrk="1" fontAlgn="base" hangingPunct="1"/>
          <a:r>
            <a:rPr lang="en-GB" sz="1400" baseline="0">
              <a:solidFill>
                <a:schemeClr val="dk1"/>
              </a:solidFill>
              <a:effectLst/>
              <a:latin typeface="+mn-lt"/>
              <a:ea typeface="+mn-ea"/>
              <a:cs typeface="+mn-cs"/>
            </a:rPr>
            <a:t>2- Constructing future development scenarios based on a bold city vision towards sustainable, efficient and clean energy future in respect to the expected future socio-economic and technological development of the pilot city </a:t>
          </a:r>
          <a:endParaRPr lang="de-DE" sz="1400">
            <a:effectLst/>
          </a:endParaRPr>
        </a:p>
        <a:p>
          <a:pPr rtl="0" eaLnBrk="1" fontAlgn="base" hangingPunct="1"/>
          <a:r>
            <a:rPr lang="en-GB" sz="1400" baseline="0">
              <a:solidFill>
                <a:schemeClr val="dk1"/>
              </a:solidFill>
              <a:effectLst/>
              <a:latin typeface="+mn-lt"/>
              <a:ea typeface="+mn-ea"/>
              <a:cs typeface="+mn-cs"/>
            </a:rPr>
            <a:t>3- Formulating sustainable long-term clean energy strategy based on the developed scenarios and embedded within the urban planning process of the pilot city. </a:t>
          </a:r>
          <a:endParaRPr lang="de-DE" sz="1400">
            <a:effectLst/>
          </a:endParaRPr>
        </a:p>
        <a:p>
          <a:pPr rtl="0" eaLnBrk="1" fontAlgn="base" hangingPunct="1"/>
          <a:r>
            <a:rPr lang="en-GB" sz="1400" baseline="0">
              <a:solidFill>
                <a:schemeClr val="dk1"/>
              </a:solidFill>
              <a:effectLst/>
              <a:latin typeface="+mn-lt"/>
              <a:ea typeface="+mn-ea"/>
              <a:cs typeface="+mn-cs"/>
            </a:rPr>
            <a:t>4- Establishing a set of key indicators (aligned with selected SDGs: G7, G11, G12) to track the transition pathways of the developed strategy and to provide the pilot authority with the recommendations for action and implementation priorities. </a:t>
          </a:r>
          <a:endParaRPr lang="de-DE" sz="1400">
            <a:effectLst/>
          </a:endParaRPr>
        </a:p>
        <a:p>
          <a:pPr rtl="0" eaLnBrk="1" fontAlgn="base" hangingPunct="1"/>
          <a:r>
            <a:rPr lang="en-GB" sz="1400" baseline="0">
              <a:solidFill>
                <a:schemeClr val="dk1"/>
              </a:solidFill>
              <a:effectLst/>
              <a:latin typeface="+mn-lt"/>
              <a:ea typeface="+mn-ea"/>
              <a:cs typeface="+mn-cs"/>
            </a:rPr>
            <a:t>5-Development of guidelines for the integration of energy and climate protection targets in local development concepts and strategies</a:t>
          </a:r>
          <a:endParaRPr lang="de-DE" sz="1400">
            <a:effectLst/>
          </a:endParaRPr>
        </a:p>
        <a:p>
          <a:endParaRPr lang="en-US" sz="1400">
            <a:solidFill>
              <a:schemeClr val="dk1"/>
            </a:solidFill>
            <a:effectLst/>
            <a:latin typeface="+mn-lt"/>
            <a:ea typeface="+mn-ea"/>
            <a:cs typeface="+mn-cs"/>
          </a:endParaRPr>
        </a:p>
      </xdr:txBody>
    </xdr:sp>
    <xdr:clientData/>
  </xdr:twoCellAnchor>
  <xdr:twoCellAnchor>
    <xdr:from>
      <xdr:col>1</xdr:col>
      <xdr:colOff>97972</xdr:colOff>
      <xdr:row>3</xdr:row>
      <xdr:rowOff>43543</xdr:rowOff>
    </xdr:from>
    <xdr:to>
      <xdr:col>11</xdr:col>
      <xdr:colOff>81149</xdr:colOff>
      <xdr:row>12</xdr:row>
      <xdr:rowOff>80157</xdr:rowOff>
    </xdr:to>
    <xdr:grpSp>
      <xdr:nvGrpSpPr>
        <xdr:cNvPr id="8" name="Group 7">
          <a:extLst>
            <a:ext uri="{FF2B5EF4-FFF2-40B4-BE49-F238E27FC236}">
              <a16:creationId xmlns:a16="http://schemas.microsoft.com/office/drawing/2014/main" id="{210AA1D1-8697-46C9-896F-0754F6E0BE84}"/>
            </a:ext>
          </a:extLst>
        </xdr:cNvPr>
        <xdr:cNvGrpSpPr/>
      </xdr:nvGrpSpPr>
      <xdr:grpSpPr>
        <a:xfrm>
          <a:off x="593272" y="529318"/>
          <a:ext cx="6488752" cy="2017814"/>
          <a:chOff x="920337" y="377043"/>
          <a:chExt cx="6688777" cy="2028700"/>
        </a:xfrm>
      </xdr:grpSpPr>
      <xdr:pic>
        <xdr:nvPicPr>
          <xdr:cNvPr id="9" name="Picture 8">
            <a:extLst>
              <a:ext uri="{FF2B5EF4-FFF2-40B4-BE49-F238E27FC236}">
                <a16:creationId xmlns:a16="http://schemas.microsoft.com/office/drawing/2014/main" id="{7417EB66-52E2-4DE2-A442-A2AF58837AA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33575"/>
          <a:stretch/>
        </xdr:blipFill>
        <xdr:spPr bwMode="auto">
          <a:xfrm>
            <a:off x="920337" y="377043"/>
            <a:ext cx="6688777" cy="173795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Textfeld 1">
            <a:extLst>
              <a:ext uri="{FF2B5EF4-FFF2-40B4-BE49-F238E27FC236}">
                <a16:creationId xmlns:a16="http://schemas.microsoft.com/office/drawing/2014/main" id="{D85F29B0-EC4E-E1A2-8CAC-51ABCB9A262B}"/>
              </a:ext>
            </a:extLst>
          </xdr:cNvPr>
          <xdr:cNvSpPr txBox="1"/>
        </xdr:nvSpPr>
        <xdr:spPr>
          <a:xfrm>
            <a:off x="1284513" y="1948542"/>
            <a:ext cx="3505201" cy="457201"/>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0" i="0" u="none" strike="noStrike">
                <a:solidFill>
                  <a:srgbClr val="00B0F0"/>
                </a:solidFill>
                <a:effectLst/>
                <a:latin typeface="Arial" panose="020B0604020202020204" pitchFamily="34" charset="0"/>
                <a:ea typeface="+mn-ea"/>
                <a:cs typeface="Arial" panose="020B0604020202020204" pitchFamily="34" charset="0"/>
              </a:rPr>
              <a:t>PLENTY-LIFE (11/2022- 10/2025)</a:t>
            </a:r>
            <a:r>
              <a:rPr lang="de-DE" sz="1600">
                <a:solidFill>
                  <a:srgbClr val="00B0F0"/>
                </a:solidFill>
                <a:latin typeface="Arial" panose="020B0604020202020204" pitchFamily="34" charset="0"/>
                <a:cs typeface="Arial" panose="020B0604020202020204" pitchFamily="34" charset="0"/>
              </a:rPr>
              <a:t> </a:t>
            </a:r>
            <a:endParaRPr lang="en-US" sz="1600">
              <a:solidFill>
                <a:srgbClr val="00B0F0"/>
              </a:solidFill>
              <a:latin typeface="Arial" panose="020B0604020202020204" pitchFamily="34" charset="0"/>
              <a:cs typeface="Arial" panose="020B0604020202020204" pitchFamily="34" charset="0"/>
            </a:endParaRPr>
          </a:p>
        </xdr:txBody>
      </xdr:sp>
    </xdr:grpSp>
    <xdr:clientData/>
  </xdr:twoCellAnchor>
  <xdr:twoCellAnchor>
    <xdr:from>
      <xdr:col>15</xdr:col>
      <xdr:colOff>387885</xdr:colOff>
      <xdr:row>17</xdr:row>
      <xdr:rowOff>326572</xdr:rowOff>
    </xdr:from>
    <xdr:to>
      <xdr:col>28</xdr:col>
      <xdr:colOff>427906</xdr:colOff>
      <xdr:row>34</xdr:row>
      <xdr:rowOff>20811</xdr:rowOff>
    </xdr:to>
    <xdr:sp macro="" textlink="">
      <xdr:nvSpPr>
        <xdr:cNvPr id="11" name="Textfeld 1">
          <a:extLst>
            <a:ext uri="{FF2B5EF4-FFF2-40B4-BE49-F238E27FC236}">
              <a16:creationId xmlns:a16="http://schemas.microsoft.com/office/drawing/2014/main" id="{B6D98F29-CF3E-40AB-9CD7-D5CD87436826}"/>
            </a:ext>
          </a:extLst>
        </xdr:cNvPr>
        <xdr:cNvSpPr txBox="1"/>
      </xdr:nvSpPr>
      <xdr:spPr>
        <a:xfrm>
          <a:off x="10629165" y="3679372"/>
          <a:ext cx="7964821" cy="3923339"/>
        </a:xfrm>
        <a:prstGeom prst="rect">
          <a:avLst/>
        </a:prstGeom>
        <a:solidFill>
          <a:schemeClr val="bg1">
            <a:lumMod val="95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none">
              <a:solidFill>
                <a:schemeClr val="dk1"/>
              </a:solidFill>
              <a:effectLst/>
              <a:latin typeface="+mn-lt"/>
              <a:ea typeface="+mn-ea"/>
              <a:cs typeface="+mn-cs"/>
            </a:rPr>
            <a:t>Explanations for the template:</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The MAED-City methodology builds on the relations between socio economic factors (population size, commuter balances, services activities, industry activities, cooking etc.) and energy use. The most important data sheets are therefore “</a:t>
          </a:r>
          <a:r>
            <a:rPr lang="en-US" sz="1400" b="1" i="1">
              <a:solidFill>
                <a:schemeClr val="dk1"/>
              </a:solidFill>
              <a:effectLst/>
              <a:latin typeface="+mn-lt"/>
              <a:ea typeface="+mn-ea"/>
              <a:cs typeface="+mn-cs"/>
            </a:rPr>
            <a:t>Population &amp; GDP</a:t>
          </a:r>
          <a:r>
            <a:rPr lang="en-US" sz="1400">
              <a:solidFill>
                <a:schemeClr val="dk1"/>
              </a:solidFill>
              <a:effectLst/>
              <a:latin typeface="+mn-lt"/>
              <a:ea typeface="+mn-ea"/>
              <a:cs typeface="+mn-cs"/>
            </a:rPr>
            <a:t>”, “</a:t>
          </a:r>
          <a:r>
            <a:rPr lang="en-US" sz="1400" b="1" i="1">
              <a:solidFill>
                <a:schemeClr val="dk1"/>
              </a:solidFill>
              <a:effectLst/>
              <a:latin typeface="+mn-lt"/>
              <a:ea typeface="+mn-ea"/>
              <a:cs typeface="+mn-cs"/>
            </a:rPr>
            <a:t>Energy Balance</a:t>
          </a:r>
          <a:r>
            <a:rPr lang="en-US" sz="1400">
              <a:solidFill>
                <a:schemeClr val="dk1"/>
              </a:solidFill>
              <a:effectLst/>
              <a:latin typeface="+mn-lt"/>
              <a:ea typeface="+mn-ea"/>
              <a:cs typeface="+mn-cs"/>
            </a:rPr>
            <a:t>” and “</a:t>
          </a:r>
          <a:r>
            <a:rPr lang="en-US" sz="1400" b="1" i="1">
              <a:solidFill>
                <a:schemeClr val="dk1"/>
              </a:solidFill>
              <a:effectLst/>
              <a:latin typeface="+mn-lt"/>
              <a:ea typeface="+mn-ea"/>
              <a:cs typeface="+mn-cs"/>
            </a:rPr>
            <a:t>Household Energy Factors</a:t>
          </a:r>
          <a:r>
            <a:rPr lang="en-US" sz="1400">
              <a:solidFill>
                <a:schemeClr val="dk1"/>
              </a:solidFill>
              <a:effectLst/>
              <a:latin typeface="+mn-lt"/>
              <a:ea typeface="+mn-ea"/>
              <a:cs typeface="+mn-cs"/>
            </a:rPr>
            <a:t>”. </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The sheets “</a:t>
          </a:r>
          <a:r>
            <a:rPr lang="en-US" sz="1400" b="1" i="1">
              <a:solidFill>
                <a:schemeClr val="dk1"/>
              </a:solidFill>
              <a:effectLst/>
              <a:latin typeface="+mn-lt"/>
              <a:ea typeface="+mn-ea"/>
              <a:cs typeface="+mn-cs"/>
            </a:rPr>
            <a:t>ACM-Energy factors</a:t>
          </a:r>
          <a:r>
            <a:rPr lang="en-US" sz="1400">
              <a:solidFill>
                <a:schemeClr val="dk1"/>
              </a:solidFill>
              <a:effectLst/>
              <a:latin typeface="+mn-lt"/>
              <a:ea typeface="+mn-ea"/>
              <a:cs typeface="+mn-cs"/>
            </a:rPr>
            <a:t>” and “</a:t>
          </a:r>
          <a:r>
            <a:rPr lang="en-US" sz="1400" b="1" i="1">
              <a:solidFill>
                <a:schemeClr val="dk1"/>
              </a:solidFill>
              <a:effectLst/>
              <a:latin typeface="+mn-lt"/>
              <a:ea typeface="+mn-ea"/>
              <a:cs typeface="+mn-cs"/>
            </a:rPr>
            <a:t>MAN-Energy Factors</a:t>
          </a:r>
          <a:r>
            <a:rPr lang="en-US" sz="1400">
              <a:solidFill>
                <a:schemeClr val="dk1"/>
              </a:solidFill>
              <a:effectLst/>
              <a:latin typeface="+mn-lt"/>
              <a:ea typeface="+mn-ea"/>
              <a:cs typeface="+mn-cs"/>
            </a:rPr>
            <a:t>” are to be provided solely in relative numbers, as absolute values of energy consumption will be derived, using the “</a:t>
          </a:r>
          <a:r>
            <a:rPr lang="en-US" sz="1400" b="1" i="1">
              <a:solidFill>
                <a:schemeClr val="dk1"/>
              </a:solidFill>
              <a:effectLst/>
              <a:latin typeface="+mn-lt"/>
              <a:ea typeface="+mn-ea"/>
              <a:cs typeface="+mn-cs"/>
            </a:rPr>
            <a:t>Energy Balance</a:t>
          </a:r>
          <a:r>
            <a:rPr lang="en-US" sz="1400">
              <a:solidFill>
                <a:schemeClr val="dk1"/>
              </a:solidFill>
              <a:effectLst/>
              <a:latin typeface="+mn-lt"/>
              <a:ea typeface="+mn-ea"/>
              <a:cs typeface="+mn-cs"/>
            </a:rPr>
            <a:t>” sheet. </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For the sheets “</a:t>
          </a:r>
          <a:r>
            <a:rPr lang="en-US" sz="1400" b="1" i="1">
              <a:solidFill>
                <a:schemeClr val="dk1"/>
              </a:solidFill>
              <a:effectLst/>
              <a:latin typeface="+mn-lt"/>
              <a:ea typeface="+mn-ea"/>
              <a:cs typeface="+mn-cs"/>
            </a:rPr>
            <a:t>Urban Freight Transport</a:t>
          </a:r>
          <a:r>
            <a:rPr lang="en-US" sz="1400">
              <a:solidFill>
                <a:schemeClr val="dk1"/>
              </a:solidFill>
              <a:effectLst/>
              <a:latin typeface="+mn-lt"/>
              <a:ea typeface="+mn-ea"/>
              <a:cs typeface="+mn-cs"/>
            </a:rPr>
            <a:t>”, “</a:t>
          </a:r>
          <a:r>
            <a:rPr lang="en-US" sz="1400" b="1" i="1">
              <a:solidFill>
                <a:schemeClr val="dk1"/>
              </a:solidFill>
              <a:effectLst/>
              <a:latin typeface="+mn-lt"/>
              <a:ea typeface="+mn-ea"/>
              <a:cs typeface="+mn-cs"/>
            </a:rPr>
            <a:t>Passenger Transport</a:t>
          </a:r>
          <a:r>
            <a:rPr lang="en-US" sz="1400">
              <a:solidFill>
                <a:schemeClr val="dk1"/>
              </a:solidFill>
              <a:effectLst/>
              <a:latin typeface="+mn-lt"/>
              <a:ea typeface="+mn-ea"/>
              <a:cs typeface="+mn-cs"/>
            </a:rPr>
            <a:t>” and “</a:t>
          </a:r>
          <a:r>
            <a:rPr lang="en-US" sz="1400" b="1" i="1">
              <a:solidFill>
                <a:schemeClr val="dk1"/>
              </a:solidFill>
              <a:effectLst/>
              <a:latin typeface="+mn-lt"/>
              <a:ea typeface="+mn-ea"/>
              <a:cs typeface="+mn-cs"/>
            </a:rPr>
            <a:t>Service</a:t>
          </a:r>
          <a:r>
            <a:rPr lang="en-US" sz="1400">
              <a:solidFill>
                <a:schemeClr val="dk1"/>
              </a:solidFill>
              <a:effectLst/>
              <a:latin typeface="+mn-lt"/>
              <a:ea typeface="+mn-ea"/>
              <a:cs typeface="+mn-cs"/>
            </a:rPr>
            <a:t>”, the socio-economic drivers are requested directly in the sheet. These are tonne kilometers, average annual kilometers per person, or person kilometers and floor area per employee. </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The next page shows a </a:t>
          </a:r>
          <a:r>
            <a:rPr lang="en-US" sz="1400" b="1">
              <a:solidFill>
                <a:schemeClr val="dk1"/>
              </a:solidFill>
              <a:effectLst/>
              <a:latin typeface="+mn-lt"/>
              <a:ea typeface="+mn-ea"/>
              <a:cs typeface="+mn-cs"/>
            </a:rPr>
            <a:t>glossary</a:t>
          </a:r>
          <a:r>
            <a:rPr lang="en-US" sz="1400">
              <a:solidFill>
                <a:schemeClr val="dk1"/>
              </a:solidFill>
              <a:effectLst/>
              <a:latin typeface="+mn-lt"/>
              <a:ea typeface="+mn-ea"/>
              <a:cs typeface="+mn-cs"/>
            </a:rPr>
            <a:t> elaborating on the content and scope of the </a:t>
          </a:r>
          <a:r>
            <a:rPr lang="en-US" sz="1400" baseline="0">
              <a:solidFill>
                <a:schemeClr val="dk1"/>
              </a:solidFill>
              <a:effectLst/>
              <a:latin typeface="+mn-lt"/>
              <a:ea typeface="+mn-ea"/>
              <a:cs typeface="+mn-cs"/>
            </a:rPr>
            <a:t>data required.</a:t>
          </a:r>
          <a:endParaRPr lang="en-US" sz="1400">
            <a:solidFill>
              <a:schemeClr val="dk1"/>
            </a:solidFill>
            <a:effectLst/>
            <a:latin typeface="+mn-lt"/>
            <a:ea typeface="+mn-ea"/>
            <a:cs typeface="+mn-cs"/>
          </a:endParaRPr>
        </a:p>
        <a:p>
          <a:endParaRPr lang="en-US" sz="1100"/>
        </a:p>
      </xdr:txBody>
    </xdr:sp>
    <xdr:clientData/>
  </xdr:twoCellAnchor>
  <xdr:twoCellAnchor>
    <xdr:from>
      <xdr:col>15</xdr:col>
      <xdr:colOff>381001</xdr:colOff>
      <xdr:row>34</xdr:row>
      <xdr:rowOff>157680</xdr:rowOff>
    </xdr:from>
    <xdr:to>
      <xdr:col>28</xdr:col>
      <xdr:colOff>444234</xdr:colOff>
      <xdr:row>58</xdr:row>
      <xdr:rowOff>141033</xdr:rowOff>
    </xdr:to>
    <xdr:sp macro="" textlink="">
      <xdr:nvSpPr>
        <xdr:cNvPr id="12" name="Textfeld 1">
          <a:extLst>
            <a:ext uri="{FF2B5EF4-FFF2-40B4-BE49-F238E27FC236}">
              <a16:creationId xmlns:a16="http://schemas.microsoft.com/office/drawing/2014/main" id="{C77F4BF6-63C1-478D-B0DF-DB550E874695}"/>
            </a:ext>
          </a:extLst>
        </xdr:cNvPr>
        <xdr:cNvSpPr txBox="1"/>
      </xdr:nvSpPr>
      <xdr:spPr>
        <a:xfrm>
          <a:off x="10622281" y="7739580"/>
          <a:ext cx="7988033" cy="4463913"/>
        </a:xfrm>
        <a:prstGeom prst="rect">
          <a:avLst/>
        </a:prstGeom>
        <a:solidFill>
          <a:schemeClr val="bg1">
            <a:lumMod val="95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none">
              <a:solidFill>
                <a:schemeClr val="dk1"/>
              </a:solidFill>
              <a:effectLst/>
              <a:latin typeface="+mn-lt"/>
              <a:ea typeface="+mn-ea"/>
              <a:cs typeface="+mn-cs"/>
            </a:rPr>
            <a:t>Data collection methodology:</a:t>
          </a:r>
        </a:p>
        <a:p>
          <a:endParaRPr lang="en-US" sz="1400">
            <a:solidFill>
              <a:schemeClr val="dk1"/>
            </a:solidFill>
            <a:effectLst/>
            <a:latin typeface="+mn-lt"/>
            <a:ea typeface="+mn-ea"/>
            <a:cs typeface="+mn-cs"/>
          </a:endParaRPr>
        </a:p>
        <a:p>
          <a:r>
            <a:rPr lang="de-DE" sz="1400" b="1">
              <a:solidFill>
                <a:srgbClr val="FF0000"/>
              </a:solidFill>
              <a:effectLst/>
              <a:latin typeface="+mn-lt"/>
              <a:ea typeface="+mn-ea"/>
              <a:cs typeface="+mn-cs"/>
            </a:rPr>
            <a:t>Important note: Please add  the references used in preparing input data in each input sheet (there is a reference table at the bottom) </a:t>
          </a:r>
        </a:p>
        <a:p>
          <a:endParaRPr lang="de-DE" sz="1400">
            <a:solidFill>
              <a:schemeClr val="dk1"/>
            </a:solidFill>
            <a:effectLst/>
            <a:latin typeface="+mn-lt"/>
            <a:ea typeface="+mn-ea"/>
            <a:cs typeface="+mn-cs"/>
          </a:endParaRPr>
        </a:p>
        <a:p>
          <a:r>
            <a:rPr lang="de-DE" sz="1400" b="1" u="sng">
              <a:solidFill>
                <a:schemeClr val="dk1"/>
              </a:solidFill>
              <a:effectLst/>
              <a:latin typeface="+mn-lt"/>
              <a:ea typeface="+mn-ea"/>
              <a:cs typeface="+mn-cs"/>
            </a:rPr>
            <a:t>Temporal scope</a:t>
          </a:r>
          <a:r>
            <a:rPr lang="de-DE" sz="1400" u="sng">
              <a:solidFill>
                <a:schemeClr val="dk1"/>
              </a:solidFill>
              <a:effectLst/>
              <a:latin typeface="+mn-lt"/>
              <a:ea typeface="+mn-ea"/>
              <a:cs typeface="+mn-cs"/>
            </a:rPr>
            <a:t>:  </a:t>
          </a:r>
          <a:r>
            <a:rPr lang="de-DE" sz="1400">
              <a:solidFill>
                <a:schemeClr val="dk1"/>
              </a:solidFill>
              <a:effectLst/>
              <a:latin typeface="+mn-lt"/>
              <a:ea typeface="+mn-ea"/>
              <a:cs typeface="+mn-cs"/>
            </a:rPr>
            <a:t>The baseline year used within the PLENTY-LIFE framework is </a:t>
          </a:r>
          <a:r>
            <a:rPr lang="de-DE" sz="1400" b="1">
              <a:solidFill>
                <a:schemeClr val="dk1"/>
              </a:solidFill>
              <a:effectLst/>
              <a:latin typeface="+mn-lt"/>
              <a:ea typeface="+mn-ea"/>
              <a:cs typeface="+mn-cs"/>
            </a:rPr>
            <a:t>2018-2019</a:t>
          </a:r>
          <a:r>
            <a:rPr lang="de-DE" sz="1400">
              <a:solidFill>
                <a:schemeClr val="dk1"/>
              </a:solidFill>
              <a:effectLst/>
              <a:latin typeface="+mn-lt"/>
              <a:ea typeface="+mn-ea"/>
              <a:cs typeface="+mn-cs"/>
            </a:rPr>
            <a:t>. </a:t>
          </a:r>
          <a:r>
            <a:rPr lang="de-DE" sz="1400" b="1" u="sng">
              <a:solidFill>
                <a:schemeClr val="dk1"/>
              </a:solidFill>
              <a:effectLst/>
              <a:latin typeface="+mn-lt"/>
              <a:ea typeface="+mn-ea"/>
              <a:cs typeface="+mn-cs"/>
            </a:rPr>
            <a:t>Geographical scope: </a:t>
          </a:r>
          <a:r>
            <a:rPr lang="de-DE" sz="14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400" b="1">
              <a:solidFill>
                <a:schemeClr val="dk1"/>
              </a:solidFill>
              <a:effectLst/>
              <a:latin typeface="+mn-lt"/>
              <a:ea typeface="+mn-ea"/>
              <a:cs typeface="+mn-cs"/>
            </a:rPr>
            <a:t>1. Data collection at local city/municipality level: </a:t>
          </a:r>
          <a:r>
            <a:rPr lang="de-DE" sz="1400" b="0">
              <a:solidFill>
                <a:schemeClr val="dk1"/>
              </a:solidFill>
              <a:effectLst/>
              <a:latin typeface="+mn-lt"/>
              <a:ea typeface="+mn-ea"/>
              <a:cs typeface="+mn-cs"/>
            </a:rPr>
            <a:t>The data at local level are the most relevant as they enable a precise description of the local energy </a:t>
          </a:r>
          <a:r>
            <a:rPr lang="de-DE" sz="1400">
              <a:solidFill>
                <a:schemeClr val="dk1"/>
              </a:solidFill>
              <a:effectLst/>
              <a:latin typeface="+mn-lt"/>
              <a:ea typeface="+mn-ea"/>
              <a:cs typeface="+mn-cs"/>
            </a:rPr>
            <a:t>demand. These data can come from the energy bills, or previous energy projects conducted in the area.  </a:t>
          </a:r>
        </a:p>
        <a:p>
          <a:r>
            <a:rPr lang="de-DE" sz="1400" b="1">
              <a:solidFill>
                <a:schemeClr val="dk1"/>
              </a:solidFill>
              <a:effectLst/>
              <a:latin typeface="+mn-lt"/>
              <a:ea typeface="+mn-ea"/>
              <a:cs typeface="+mn-cs"/>
            </a:rPr>
            <a:t>2. Data collection at provincial/regional level: </a:t>
          </a:r>
          <a:r>
            <a:rPr lang="de-DE" sz="1400">
              <a:solidFill>
                <a:schemeClr val="dk1"/>
              </a:solidFill>
              <a:effectLst/>
              <a:latin typeface="+mn-lt"/>
              <a:ea typeface="+mn-ea"/>
              <a:cs typeface="+mn-cs"/>
            </a:rPr>
            <a:t>If the data are not available at local level, the second most relevant source is the regional level.  </a:t>
          </a:r>
        </a:p>
        <a:p>
          <a:r>
            <a:rPr lang="de-DE" sz="1400" b="1">
              <a:solidFill>
                <a:schemeClr val="dk1"/>
              </a:solidFill>
              <a:effectLst/>
              <a:latin typeface="+mn-lt"/>
              <a:ea typeface="+mn-ea"/>
              <a:cs typeface="+mn-cs"/>
            </a:rPr>
            <a:t>3. Data collection at national/country level: </a:t>
          </a:r>
          <a:r>
            <a:rPr lang="de-DE" sz="14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400" b="1" i="0" u="none" strike="noStrike">
            <a:solidFill>
              <a:schemeClr val="dk1"/>
            </a:solidFill>
            <a:effectLst/>
            <a:latin typeface="+mn-lt"/>
            <a:ea typeface="+mn-ea"/>
            <a:cs typeface="+mn-cs"/>
          </a:endParaRPr>
        </a:p>
        <a:p>
          <a:r>
            <a:rPr lang="de-DE" sz="14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18</xdr:row>
      <xdr:rowOff>0</xdr:rowOff>
    </xdr:from>
    <xdr:to>
      <xdr:col>4</xdr:col>
      <xdr:colOff>234250</xdr:colOff>
      <xdr:row>22</xdr:row>
      <xdr:rowOff>125412</xdr:rowOff>
    </xdr:to>
    <xdr:sp macro="" textlink="">
      <xdr:nvSpPr>
        <xdr:cNvPr id="2" name="Textfeld 1">
          <a:extLst>
            <a:ext uri="{FF2B5EF4-FFF2-40B4-BE49-F238E27FC236}">
              <a16:creationId xmlns:a16="http://schemas.microsoft.com/office/drawing/2014/main" id="{7571C545-9DEF-4C93-B2F9-4DE8774A065B}"/>
            </a:ext>
          </a:extLst>
        </xdr:cNvPr>
        <xdr:cNvSpPr txBox="1"/>
      </xdr:nvSpPr>
      <xdr:spPr>
        <a:xfrm>
          <a:off x="243417" y="5175250"/>
          <a:ext cx="3060000" cy="1099079"/>
        </a:xfrm>
        <a:prstGeom prst="rect">
          <a:avLst/>
        </a:prstGeom>
        <a:solidFill>
          <a:schemeClr val="bg2"/>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a:t>Intracity information:</a:t>
          </a:r>
        </a:p>
        <a:p>
          <a:endParaRPr lang="en-US" sz="1100"/>
        </a:p>
        <a:p>
          <a:r>
            <a:rPr lang="en-US" sz="1100"/>
            <a:t>Intracity</a:t>
          </a:r>
          <a:r>
            <a:rPr lang="en-US" sz="1100" baseline="0"/>
            <a:t> distance referes to trips that are exclusively conducted within the municipality, </a:t>
          </a:r>
          <a:r>
            <a:rPr lang="en-US" sz="1100" i="1" baseline="0"/>
            <a:t>i.e.</a:t>
          </a:r>
          <a:r>
            <a:rPr lang="en-US" sz="1100" baseline="0"/>
            <a:t>, start in the city </a:t>
          </a:r>
          <a:r>
            <a:rPr lang="en-US" sz="1100" b="1" baseline="0"/>
            <a:t>and</a:t>
          </a:r>
          <a:r>
            <a:rPr lang="en-US" sz="1100" baseline="0"/>
            <a:t> end in the municipality. </a:t>
          </a:r>
          <a:endParaRPr lang="en-US" sz="1100"/>
        </a:p>
      </xdr:txBody>
    </xdr:sp>
    <xdr:clientData/>
  </xdr:twoCellAnchor>
  <xdr:twoCellAnchor>
    <xdr:from>
      <xdr:col>1</xdr:col>
      <xdr:colOff>0</xdr:colOff>
      <xdr:row>23</xdr:row>
      <xdr:rowOff>1</xdr:rowOff>
    </xdr:from>
    <xdr:to>
      <xdr:col>4</xdr:col>
      <xdr:colOff>234250</xdr:colOff>
      <xdr:row>27</xdr:row>
      <xdr:rowOff>222251</xdr:rowOff>
    </xdr:to>
    <xdr:sp macro="" textlink="">
      <xdr:nvSpPr>
        <xdr:cNvPr id="3" name="Textfeld 2">
          <a:extLst>
            <a:ext uri="{FF2B5EF4-FFF2-40B4-BE49-F238E27FC236}">
              <a16:creationId xmlns:a16="http://schemas.microsoft.com/office/drawing/2014/main" id="{AB1B6165-3CA7-4DBC-87AA-84FEB3BCD10B}"/>
            </a:ext>
          </a:extLst>
        </xdr:cNvPr>
        <xdr:cNvSpPr txBox="1"/>
      </xdr:nvSpPr>
      <xdr:spPr>
        <a:xfrm>
          <a:off x="243417" y="6529918"/>
          <a:ext cx="3060000" cy="1195916"/>
        </a:xfrm>
        <a:prstGeom prst="rect">
          <a:avLst/>
        </a:prstGeom>
        <a:solidFill>
          <a:schemeClr val="bg2"/>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a:t>Intercity information:</a:t>
          </a:r>
        </a:p>
        <a:p>
          <a:endParaRPr lang="en-US" sz="1100"/>
        </a:p>
        <a:p>
          <a:r>
            <a:rPr lang="en-US" sz="1100"/>
            <a:t>Intercity</a:t>
          </a:r>
          <a:r>
            <a:rPr lang="en-US" sz="1100" baseline="0"/>
            <a:t> distance referes to trips that either start </a:t>
          </a:r>
          <a:r>
            <a:rPr lang="en-US" sz="1100" b="1" baseline="0"/>
            <a:t>or</a:t>
          </a:r>
          <a:r>
            <a:rPr lang="en-US" sz="1100" baseline="0"/>
            <a:t> end outside the municipality and either start </a:t>
          </a:r>
          <a:r>
            <a:rPr lang="en-US" sz="1100" b="1" baseline="0"/>
            <a:t>or</a:t>
          </a:r>
          <a:r>
            <a:rPr lang="en-US" sz="1100" baseline="0"/>
            <a:t> end within the municipality, </a:t>
          </a:r>
          <a:r>
            <a:rPr lang="en-US" sz="1100" i="1" baseline="0"/>
            <a:t>i.e.</a:t>
          </a:r>
          <a:r>
            <a:rPr lang="en-US" sz="1100" baseline="0"/>
            <a:t>, that are related to the surrounding area of the municipality. </a:t>
          </a:r>
          <a:endParaRPr lang="en-US" sz="1100"/>
        </a:p>
      </xdr:txBody>
    </xdr:sp>
    <xdr:clientData/>
  </xdr:twoCellAnchor>
  <xdr:twoCellAnchor>
    <xdr:from>
      <xdr:col>1</xdr:col>
      <xdr:colOff>0</xdr:colOff>
      <xdr:row>29</xdr:row>
      <xdr:rowOff>0</xdr:rowOff>
    </xdr:from>
    <xdr:to>
      <xdr:col>4</xdr:col>
      <xdr:colOff>234250</xdr:colOff>
      <xdr:row>32</xdr:row>
      <xdr:rowOff>137583</xdr:rowOff>
    </xdr:to>
    <xdr:sp macro="" textlink="">
      <xdr:nvSpPr>
        <xdr:cNvPr id="4" name="Textfeld 3">
          <a:extLst>
            <a:ext uri="{FF2B5EF4-FFF2-40B4-BE49-F238E27FC236}">
              <a16:creationId xmlns:a16="http://schemas.microsoft.com/office/drawing/2014/main" id="{74A496B9-89D5-4297-B557-13BD405809B8}"/>
            </a:ext>
          </a:extLst>
        </xdr:cNvPr>
        <xdr:cNvSpPr txBox="1"/>
      </xdr:nvSpPr>
      <xdr:spPr>
        <a:xfrm>
          <a:off x="243417" y="7990417"/>
          <a:ext cx="3060000" cy="867833"/>
        </a:xfrm>
        <a:prstGeom prst="rect">
          <a:avLst/>
        </a:prstGeom>
        <a:solidFill>
          <a:schemeClr val="bg2"/>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a:t>Car</a:t>
          </a:r>
          <a:r>
            <a:rPr lang="en-US" sz="1400" b="1" i="0" u="sng" baseline="0"/>
            <a:t> ownership</a:t>
          </a:r>
          <a:r>
            <a:rPr lang="en-US" sz="1400" b="1" i="0" u="sng"/>
            <a:t> information:</a:t>
          </a:r>
        </a:p>
        <a:p>
          <a:endParaRPr lang="en-US" sz="1100"/>
        </a:p>
        <a:p>
          <a:r>
            <a:rPr lang="en-US" sz="1100"/>
            <a:t>This</a:t>
          </a:r>
          <a:r>
            <a:rPr lang="en-US" sz="1100" baseline="0"/>
            <a:t> information </a:t>
          </a:r>
          <a:r>
            <a:rPr lang="en-US" sz="1100" baseline="0">
              <a:solidFill>
                <a:schemeClr val="dk1"/>
              </a:solidFill>
              <a:effectLst/>
              <a:latin typeface="+mn-lt"/>
              <a:ea typeface="+mn-ea"/>
              <a:cs typeface="+mn-cs"/>
            </a:rPr>
            <a:t>only </a:t>
          </a:r>
          <a:r>
            <a:rPr lang="en-US" sz="1100" baseline="0"/>
            <a:t>relates to cars and persons that are registered within the municipality</a:t>
          </a:r>
          <a:endParaRPr lang="en-US" sz="1100"/>
        </a:p>
      </xdr:txBody>
    </xdr:sp>
    <xdr:clientData/>
  </xdr:twoCellAnchor>
  <xdr:twoCellAnchor>
    <xdr:from>
      <xdr:col>1</xdr:col>
      <xdr:colOff>1</xdr:colOff>
      <xdr:row>34</xdr:row>
      <xdr:rowOff>0</xdr:rowOff>
    </xdr:from>
    <xdr:to>
      <xdr:col>4</xdr:col>
      <xdr:colOff>234251</xdr:colOff>
      <xdr:row>67</xdr:row>
      <xdr:rowOff>116416</xdr:rowOff>
    </xdr:to>
    <xdr:sp macro="" textlink="">
      <xdr:nvSpPr>
        <xdr:cNvPr id="5" name="Textfeld 4">
          <a:extLst>
            <a:ext uri="{FF2B5EF4-FFF2-40B4-BE49-F238E27FC236}">
              <a16:creationId xmlns:a16="http://schemas.microsoft.com/office/drawing/2014/main" id="{7E1E1579-388C-441B-8698-298A509101A1}"/>
            </a:ext>
          </a:extLst>
        </xdr:cNvPr>
        <xdr:cNvSpPr txBox="1"/>
      </xdr:nvSpPr>
      <xdr:spPr>
        <a:xfrm>
          <a:off x="243418" y="9207500"/>
          <a:ext cx="3060000" cy="883708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p>
        <a:p>
          <a:endParaRPr lang="en-US" sz="1400">
            <a:solidFill>
              <a:schemeClr val="dk1"/>
            </a:solidFill>
            <a:effectLst/>
            <a:latin typeface="+mn-lt"/>
            <a:ea typeface="+mn-ea"/>
            <a:cs typeface="+mn-cs"/>
          </a:endParaRPr>
        </a:p>
        <a:p>
          <a:r>
            <a:rPr lang="de-DE" sz="14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400" b="1" u="sng">
              <a:solidFill>
                <a:schemeClr val="dk1"/>
              </a:solidFill>
              <a:effectLst/>
              <a:latin typeface="+mn-lt"/>
              <a:ea typeface="+mn-ea"/>
              <a:cs typeface="+mn-cs"/>
            </a:rPr>
            <a:t>Temporal scope</a:t>
          </a:r>
          <a:r>
            <a:rPr lang="de-DE" sz="1400" u="sng">
              <a:solidFill>
                <a:schemeClr val="dk1"/>
              </a:solidFill>
              <a:effectLst/>
              <a:latin typeface="+mn-lt"/>
              <a:ea typeface="+mn-ea"/>
              <a:cs typeface="+mn-cs"/>
            </a:rPr>
            <a:t>:  </a:t>
          </a:r>
          <a:r>
            <a:rPr lang="de-DE" sz="1400">
              <a:solidFill>
                <a:schemeClr val="dk1"/>
              </a:solidFill>
              <a:effectLst/>
              <a:latin typeface="+mn-lt"/>
              <a:ea typeface="+mn-ea"/>
              <a:cs typeface="+mn-cs"/>
            </a:rPr>
            <a:t>The baseline year used within the PLENTY-LIFE framework is </a:t>
          </a:r>
          <a:r>
            <a:rPr lang="de-DE" sz="1400" b="1">
              <a:solidFill>
                <a:schemeClr val="dk1"/>
              </a:solidFill>
              <a:effectLst/>
              <a:latin typeface="+mn-lt"/>
              <a:ea typeface="+mn-ea"/>
              <a:cs typeface="+mn-cs"/>
            </a:rPr>
            <a:t>2018-2019</a:t>
          </a:r>
          <a:r>
            <a:rPr lang="de-DE" sz="1400">
              <a:solidFill>
                <a:schemeClr val="dk1"/>
              </a:solidFill>
              <a:effectLst/>
              <a:latin typeface="+mn-lt"/>
              <a:ea typeface="+mn-ea"/>
              <a:cs typeface="+mn-cs"/>
            </a:rPr>
            <a:t>. </a:t>
          </a:r>
          <a:r>
            <a:rPr lang="de-DE" sz="1400" b="1" u="sng">
              <a:solidFill>
                <a:schemeClr val="dk1"/>
              </a:solidFill>
              <a:effectLst/>
              <a:latin typeface="+mn-lt"/>
              <a:ea typeface="+mn-ea"/>
              <a:cs typeface="+mn-cs"/>
            </a:rPr>
            <a:t>Geographical scope: </a:t>
          </a:r>
          <a:r>
            <a:rPr lang="de-DE" sz="14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400" b="1">
              <a:solidFill>
                <a:schemeClr val="dk1"/>
              </a:solidFill>
              <a:effectLst/>
              <a:latin typeface="+mn-lt"/>
              <a:ea typeface="+mn-ea"/>
              <a:cs typeface="+mn-cs"/>
            </a:rPr>
            <a:t>1. Data collection at local city/municipality level: </a:t>
          </a:r>
          <a:r>
            <a:rPr lang="de-DE" sz="1400" b="0">
              <a:solidFill>
                <a:schemeClr val="dk1"/>
              </a:solidFill>
              <a:effectLst/>
              <a:latin typeface="+mn-lt"/>
              <a:ea typeface="+mn-ea"/>
              <a:cs typeface="+mn-cs"/>
            </a:rPr>
            <a:t>The data at local level are the most relevant as they enable a precise description of the local energy </a:t>
          </a:r>
          <a:r>
            <a:rPr lang="de-DE" sz="1400">
              <a:solidFill>
                <a:schemeClr val="dk1"/>
              </a:solidFill>
              <a:effectLst/>
              <a:latin typeface="+mn-lt"/>
              <a:ea typeface="+mn-ea"/>
              <a:cs typeface="+mn-cs"/>
            </a:rPr>
            <a:t>demand. These data can come from the energy bills, or previous energy projects conducted in the area.  </a:t>
          </a:r>
        </a:p>
        <a:p>
          <a:r>
            <a:rPr lang="de-DE" sz="1400" b="1">
              <a:solidFill>
                <a:schemeClr val="dk1"/>
              </a:solidFill>
              <a:effectLst/>
              <a:latin typeface="+mn-lt"/>
              <a:ea typeface="+mn-ea"/>
              <a:cs typeface="+mn-cs"/>
            </a:rPr>
            <a:t>2. Data collection at provincial/regional level: </a:t>
          </a:r>
          <a:r>
            <a:rPr lang="de-DE" sz="1400">
              <a:solidFill>
                <a:schemeClr val="dk1"/>
              </a:solidFill>
              <a:effectLst/>
              <a:latin typeface="+mn-lt"/>
              <a:ea typeface="+mn-ea"/>
              <a:cs typeface="+mn-cs"/>
            </a:rPr>
            <a:t>If the data are not available at local level, the second most relevant source is the regional level.  </a:t>
          </a:r>
        </a:p>
        <a:p>
          <a:r>
            <a:rPr lang="de-DE" sz="1400" b="1">
              <a:solidFill>
                <a:schemeClr val="dk1"/>
              </a:solidFill>
              <a:effectLst/>
              <a:latin typeface="+mn-lt"/>
              <a:ea typeface="+mn-ea"/>
              <a:cs typeface="+mn-cs"/>
            </a:rPr>
            <a:t>3. Data collection at national/country level: </a:t>
          </a:r>
          <a:r>
            <a:rPr lang="de-DE" sz="14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400" b="1" i="0" u="none" strike="noStrike">
            <a:solidFill>
              <a:schemeClr val="dk1"/>
            </a:solidFill>
            <a:effectLst/>
            <a:latin typeface="+mn-lt"/>
            <a:ea typeface="+mn-ea"/>
            <a:cs typeface="+mn-cs"/>
          </a:endParaRPr>
        </a:p>
        <a:p>
          <a:r>
            <a:rPr lang="de-DE" sz="14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324678</xdr:colOff>
      <xdr:row>3</xdr:row>
      <xdr:rowOff>95040</xdr:rowOff>
    </xdr:from>
    <xdr:to>
      <xdr:col>14</xdr:col>
      <xdr:colOff>602319</xdr:colOff>
      <xdr:row>21</xdr:row>
      <xdr:rowOff>55568</xdr:rowOff>
    </xdr:to>
    <xdr:pic>
      <xdr:nvPicPr>
        <xdr:cNvPr id="2" name="Picture 1">
          <a:extLst>
            <a:ext uri="{FF2B5EF4-FFF2-40B4-BE49-F238E27FC236}">
              <a16:creationId xmlns:a16="http://schemas.microsoft.com/office/drawing/2014/main" id="{0E2C5B5F-CAB5-4920-B131-207529B2FEB9}"/>
            </a:ext>
          </a:extLst>
        </xdr:cNvPr>
        <xdr:cNvPicPr>
          <a:picLocks noChangeAspect="1"/>
        </xdr:cNvPicPr>
      </xdr:nvPicPr>
      <xdr:blipFill>
        <a:blip xmlns:r="http://schemas.openxmlformats.org/officeDocument/2006/relationships" r:embed="rId1"/>
        <a:stretch>
          <a:fillRect/>
        </a:stretch>
      </xdr:blipFill>
      <xdr:spPr>
        <a:xfrm>
          <a:off x="2503998" y="1763820"/>
          <a:ext cx="6526041" cy="32523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278130</xdr:colOff>
      <xdr:row>11</xdr:row>
      <xdr:rowOff>154306</xdr:rowOff>
    </xdr:from>
    <xdr:to>
      <xdr:col>13</xdr:col>
      <xdr:colOff>415290</xdr:colOff>
      <xdr:row>18</xdr:row>
      <xdr:rowOff>120016</xdr:rowOff>
    </xdr:to>
    <xdr:sp macro="" textlink="">
      <xdr:nvSpPr>
        <xdr:cNvPr id="2" name="Textfeld 1">
          <a:extLst>
            <a:ext uri="{FF2B5EF4-FFF2-40B4-BE49-F238E27FC236}">
              <a16:creationId xmlns:a16="http://schemas.microsoft.com/office/drawing/2014/main" id="{B01AA129-FE67-428C-BA2C-B98B08245F22}"/>
            </a:ext>
          </a:extLst>
        </xdr:cNvPr>
        <xdr:cNvSpPr txBox="1"/>
      </xdr:nvSpPr>
      <xdr:spPr>
        <a:xfrm>
          <a:off x="9467850" y="2577466"/>
          <a:ext cx="3886200" cy="1245870"/>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rgbClr val="00B0F0"/>
              </a:solidFill>
              <a:effectLst/>
              <a:latin typeface="+mn-lt"/>
              <a:ea typeface="+mn-ea"/>
              <a:cs typeface="+mn-cs"/>
            </a:rPr>
            <a:t>Note regarding</a:t>
          </a:r>
          <a:r>
            <a:rPr lang="en-US" sz="1400" b="1" u="sng" baseline="0">
              <a:solidFill>
                <a:srgbClr val="00B0F0"/>
              </a:solidFill>
              <a:effectLst/>
              <a:latin typeface="+mn-lt"/>
              <a:ea typeface="+mn-ea"/>
              <a:cs typeface="+mn-cs"/>
            </a:rPr>
            <a:t> "Municipal waste"</a:t>
          </a:r>
          <a:r>
            <a:rPr lang="en-US" sz="1400" b="1" u="sng">
              <a:solidFill>
                <a:srgbClr val="00B0F0"/>
              </a:solidFill>
              <a:effectLst/>
              <a:latin typeface="+mn-lt"/>
              <a:ea typeface="+mn-ea"/>
              <a:cs typeface="+mn-cs"/>
            </a:rPr>
            <a:t>:</a:t>
          </a:r>
        </a:p>
        <a:p>
          <a:endParaRPr lang="de-DE" sz="1400">
            <a:solidFill>
              <a:schemeClr val="dk1"/>
            </a:solidFill>
            <a:effectLst/>
            <a:latin typeface="+mn-lt"/>
            <a:ea typeface="+mn-ea"/>
            <a:cs typeface="+mn-cs"/>
          </a:endParaRPr>
        </a:p>
        <a:p>
          <a:r>
            <a:rPr lang="en-US" sz="1400">
              <a:solidFill>
                <a:schemeClr val="dk1"/>
              </a:solidFill>
              <a:effectLst/>
              <a:latin typeface="+mn-lt"/>
              <a:ea typeface="+mn-ea"/>
              <a:cs typeface="+mn-cs"/>
            </a:rPr>
            <a:t>1.)</a:t>
          </a:r>
          <a:r>
            <a:rPr lang="en-US" sz="1400" baseline="0">
              <a:solidFill>
                <a:schemeClr val="dk1"/>
              </a:solidFill>
              <a:effectLst/>
              <a:latin typeface="+mn-lt"/>
              <a:ea typeface="+mn-ea"/>
              <a:cs typeface="+mn-cs"/>
            </a:rPr>
            <a:t> Please provide some information about the current waste management situation in the municipality/city.</a:t>
          </a:r>
          <a:endParaRPr lang="en-US" sz="1400">
            <a:solidFill>
              <a:schemeClr val="dk1"/>
            </a:solidFill>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664845</xdr:colOff>
      <xdr:row>21</xdr:row>
      <xdr:rowOff>174307</xdr:rowOff>
    </xdr:from>
    <xdr:to>
      <xdr:col>18</xdr:col>
      <xdr:colOff>323850</xdr:colOff>
      <xdr:row>33</xdr:row>
      <xdr:rowOff>174307</xdr:rowOff>
    </xdr:to>
    <xdr:graphicFrame macro="">
      <xdr:nvGraphicFramePr>
        <xdr:cNvPr id="2" name="Diagramm 1">
          <a:extLst>
            <a:ext uri="{FF2B5EF4-FFF2-40B4-BE49-F238E27FC236}">
              <a16:creationId xmlns:a16="http://schemas.microsoft.com/office/drawing/2014/main" id="{F13BF9BB-66AD-4C6D-9820-6681E501B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1</xdr:row>
      <xdr:rowOff>0</xdr:rowOff>
    </xdr:from>
    <xdr:to>
      <xdr:col>36</xdr:col>
      <xdr:colOff>77273</xdr:colOff>
      <xdr:row>8</xdr:row>
      <xdr:rowOff>296450</xdr:rowOff>
    </xdr:to>
    <xdr:sp macro="" textlink="">
      <xdr:nvSpPr>
        <xdr:cNvPr id="4" name="Textfeld 3">
          <a:extLst>
            <a:ext uri="{FF2B5EF4-FFF2-40B4-BE49-F238E27FC236}">
              <a16:creationId xmlns:a16="http://schemas.microsoft.com/office/drawing/2014/main" id="{DEA0388C-DEAD-4B58-847D-550240278331}"/>
            </a:ext>
          </a:extLst>
        </xdr:cNvPr>
        <xdr:cNvSpPr txBox="1"/>
      </xdr:nvSpPr>
      <xdr:spPr>
        <a:xfrm>
          <a:off x="31078714" y="1156607"/>
          <a:ext cx="5492916" cy="4705164"/>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p>
        <a:p>
          <a:endParaRPr lang="en-US" sz="1400">
            <a:solidFill>
              <a:schemeClr val="dk1"/>
            </a:solidFill>
            <a:effectLst/>
            <a:latin typeface="+mn-lt"/>
            <a:ea typeface="+mn-ea"/>
            <a:cs typeface="+mn-cs"/>
          </a:endParaRPr>
        </a:p>
        <a:p>
          <a:r>
            <a:rPr lang="de-DE" sz="14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400" b="1" u="sng">
              <a:solidFill>
                <a:schemeClr val="dk1"/>
              </a:solidFill>
              <a:effectLst/>
              <a:latin typeface="+mn-lt"/>
              <a:ea typeface="+mn-ea"/>
              <a:cs typeface="+mn-cs"/>
            </a:rPr>
            <a:t>Temporal scope</a:t>
          </a:r>
          <a:r>
            <a:rPr lang="de-DE" sz="1400" u="sng">
              <a:solidFill>
                <a:schemeClr val="dk1"/>
              </a:solidFill>
              <a:effectLst/>
              <a:latin typeface="+mn-lt"/>
              <a:ea typeface="+mn-ea"/>
              <a:cs typeface="+mn-cs"/>
            </a:rPr>
            <a:t>:  </a:t>
          </a:r>
          <a:r>
            <a:rPr lang="de-DE" sz="1400">
              <a:solidFill>
                <a:schemeClr val="dk1"/>
              </a:solidFill>
              <a:effectLst/>
              <a:latin typeface="+mn-lt"/>
              <a:ea typeface="+mn-ea"/>
              <a:cs typeface="+mn-cs"/>
            </a:rPr>
            <a:t>The baseline year used within the PLENTY-LIFE framework is </a:t>
          </a:r>
          <a:r>
            <a:rPr lang="de-DE" sz="1400" b="1">
              <a:solidFill>
                <a:schemeClr val="dk1"/>
              </a:solidFill>
              <a:effectLst/>
              <a:latin typeface="+mn-lt"/>
              <a:ea typeface="+mn-ea"/>
              <a:cs typeface="+mn-cs"/>
            </a:rPr>
            <a:t>2018-2019</a:t>
          </a:r>
          <a:r>
            <a:rPr lang="de-DE" sz="1400">
              <a:solidFill>
                <a:schemeClr val="dk1"/>
              </a:solidFill>
              <a:effectLst/>
              <a:latin typeface="+mn-lt"/>
              <a:ea typeface="+mn-ea"/>
              <a:cs typeface="+mn-cs"/>
            </a:rPr>
            <a:t>. </a:t>
          </a:r>
          <a:r>
            <a:rPr lang="de-DE" sz="1400" b="1" u="sng">
              <a:solidFill>
                <a:schemeClr val="dk1"/>
              </a:solidFill>
              <a:effectLst/>
              <a:latin typeface="+mn-lt"/>
              <a:ea typeface="+mn-ea"/>
              <a:cs typeface="+mn-cs"/>
            </a:rPr>
            <a:t>Geographical scope: </a:t>
          </a:r>
          <a:r>
            <a:rPr lang="de-DE" sz="14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400" b="1">
              <a:solidFill>
                <a:schemeClr val="dk1"/>
              </a:solidFill>
              <a:effectLst/>
              <a:latin typeface="+mn-lt"/>
              <a:ea typeface="+mn-ea"/>
              <a:cs typeface="+mn-cs"/>
            </a:rPr>
            <a:t>1. Data collection at local city/municipality level: </a:t>
          </a:r>
          <a:r>
            <a:rPr lang="de-DE" sz="1400" b="0">
              <a:solidFill>
                <a:schemeClr val="dk1"/>
              </a:solidFill>
              <a:effectLst/>
              <a:latin typeface="+mn-lt"/>
              <a:ea typeface="+mn-ea"/>
              <a:cs typeface="+mn-cs"/>
            </a:rPr>
            <a:t>The data at local level are the most relevant as they enable a precise description of the local energy </a:t>
          </a:r>
          <a:r>
            <a:rPr lang="de-DE" sz="1400">
              <a:solidFill>
                <a:schemeClr val="dk1"/>
              </a:solidFill>
              <a:effectLst/>
              <a:latin typeface="+mn-lt"/>
              <a:ea typeface="+mn-ea"/>
              <a:cs typeface="+mn-cs"/>
            </a:rPr>
            <a:t>demand. These data can come from the energy bills, or previous energy projects conducted in the area.  </a:t>
          </a:r>
        </a:p>
        <a:p>
          <a:r>
            <a:rPr lang="de-DE" sz="1400" b="1">
              <a:solidFill>
                <a:schemeClr val="dk1"/>
              </a:solidFill>
              <a:effectLst/>
              <a:latin typeface="+mn-lt"/>
              <a:ea typeface="+mn-ea"/>
              <a:cs typeface="+mn-cs"/>
            </a:rPr>
            <a:t>2. Data collection at provincial/regional level: </a:t>
          </a:r>
          <a:r>
            <a:rPr lang="de-DE" sz="1400">
              <a:solidFill>
                <a:schemeClr val="dk1"/>
              </a:solidFill>
              <a:effectLst/>
              <a:latin typeface="+mn-lt"/>
              <a:ea typeface="+mn-ea"/>
              <a:cs typeface="+mn-cs"/>
            </a:rPr>
            <a:t>If the data are not available at local level, the second most relevant source is the regional level.  </a:t>
          </a:r>
        </a:p>
        <a:p>
          <a:r>
            <a:rPr lang="de-DE" sz="1400" b="1">
              <a:solidFill>
                <a:schemeClr val="dk1"/>
              </a:solidFill>
              <a:effectLst/>
              <a:latin typeface="+mn-lt"/>
              <a:ea typeface="+mn-ea"/>
              <a:cs typeface="+mn-cs"/>
            </a:rPr>
            <a:t>3. Data collection at national/country level: </a:t>
          </a:r>
          <a:r>
            <a:rPr lang="de-DE" sz="14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400" b="1" i="0" u="none" strike="noStrike">
            <a:solidFill>
              <a:schemeClr val="dk1"/>
            </a:solidFill>
            <a:effectLst/>
            <a:latin typeface="+mn-lt"/>
            <a:ea typeface="+mn-ea"/>
            <a:cs typeface="+mn-cs"/>
          </a:endParaRPr>
        </a:p>
        <a:p>
          <a:r>
            <a:rPr lang="de-DE" sz="14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16</xdr:row>
      <xdr:rowOff>0</xdr:rowOff>
    </xdr:from>
    <xdr:to>
      <xdr:col>4</xdr:col>
      <xdr:colOff>225834</xdr:colOff>
      <xdr:row>41</xdr:row>
      <xdr:rowOff>116417</xdr:rowOff>
    </xdr:to>
    <xdr:sp macro="" textlink="">
      <xdr:nvSpPr>
        <xdr:cNvPr id="3" name="Textfeld 2">
          <a:extLst>
            <a:ext uri="{FF2B5EF4-FFF2-40B4-BE49-F238E27FC236}">
              <a16:creationId xmlns:a16="http://schemas.microsoft.com/office/drawing/2014/main" id="{D63651C2-0504-4829-B11D-1C17F6E59C0B}"/>
            </a:ext>
            <a:ext uri="{147F2762-F138-4A5C-976F-8EAC2B608ADB}">
              <a16:predDERef xmlns:a16="http://schemas.microsoft.com/office/drawing/2014/main" pred="{3860510F-3B10-452B-9CCF-82CA706D71C5}"/>
            </a:ext>
          </a:extLst>
        </xdr:cNvPr>
        <xdr:cNvSpPr txBox="1"/>
      </xdr:nvSpPr>
      <xdr:spPr>
        <a:xfrm>
          <a:off x="243417" y="4275667"/>
          <a:ext cx="3168000" cy="613833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b="1" u="sng">
              <a:solidFill>
                <a:schemeClr val="dk1"/>
              </a:solidFill>
              <a:latin typeface="+mn-lt"/>
              <a:ea typeface="+mn-lt"/>
              <a:cs typeface="+mn-lt"/>
            </a:rPr>
            <a:t>Data collection methodology:</a:t>
          </a:r>
          <a:endParaRPr lang="en-US" sz="1200" b="1">
            <a:solidFill>
              <a:srgbClr val="00B0F0"/>
            </a:solidFill>
            <a:latin typeface="+mn-lt"/>
            <a:ea typeface="+mn-lt"/>
            <a:cs typeface="+mn-lt"/>
          </a:endParaRPr>
        </a:p>
        <a:p>
          <a:pPr marL="0" indent="0"/>
          <a:r>
            <a:rPr lang="en-US" sz="1200" b="1">
              <a:solidFill>
                <a:srgbClr val="00B0F0"/>
              </a:solidFill>
              <a:latin typeface="+mn-lt"/>
              <a:ea typeface="+mn-lt"/>
              <a:cs typeface="+mn-lt"/>
            </a:rPr>
            <a:t>Important note: Please add  the references used in preparing input (there is a reference table at the bottom) </a:t>
          </a:r>
          <a:endParaRPr lang="en-US" sz="1400" b="1">
            <a:solidFill>
              <a:schemeClr val="dk1"/>
            </a:solidFill>
            <a:latin typeface="+mn-lt"/>
            <a:ea typeface="+mn-lt"/>
            <a:cs typeface="+mn-lt"/>
          </a:endParaRPr>
        </a:p>
        <a:p>
          <a:pPr marL="0" indent="0"/>
          <a:endParaRPr lang="en-US" sz="1200" b="1" u="sng">
            <a:solidFill>
              <a:schemeClr val="dk1"/>
            </a:solidFill>
            <a:latin typeface="+mn-lt"/>
            <a:ea typeface="+mn-lt"/>
            <a:cs typeface="+mn-lt"/>
          </a:endParaRPr>
        </a:p>
        <a:p>
          <a:pPr marL="0" indent="0"/>
          <a:r>
            <a:rPr lang="en-US" sz="1200" b="1" u="sng">
              <a:solidFill>
                <a:schemeClr val="dk1"/>
              </a:solidFill>
              <a:latin typeface="+mn-lt"/>
              <a:ea typeface="+mn-lt"/>
              <a:cs typeface="+mn-lt"/>
            </a:rPr>
            <a:t>Temporal scope</a:t>
          </a:r>
          <a:r>
            <a:rPr lang="en-US" sz="1200" u="sng">
              <a:solidFill>
                <a:schemeClr val="dk1"/>
              </a:solidFill>
              <a:latin typeface="+mn-lt"/>
              <a:ea typeface="+mn-lt"/>
              <a:cs typeface="+mn-lt"/>
            </a:rPr>
            <a:t>:  </a:t>
          </a:r>
          <a:r>
            <a:rPr lang="en-US" sz="1200">
              <a:solidFill>
                <a:schemeClr val="dk1"/>
              </a:solidFill>
              <a:latin typeface="+mn-lt"/>
              <a:ea typeface="+mn-lt"/>
              <a:cs typeface="+mn-lt"/>
            </a:rPr>
            <a:t>The baseline year used within the PLENTY-LIFE framework is </a:t>
          </a:r>
          <a:r>
            <a:rPr lang="en-US" sz="1200" b="1">
              <a:solidFill>
                <a:schemeClr val="dk1"/>
              </a:solidFill>
              <a:latin typeface="+mn-lt"/>
              <a:ea typeface="+mn-lt"/>
              <a:cs typeface="+mn-lt"/>
            </a:rPr>
            <a:t>2018-2019</a:t>
          </a:r>
          <a:r>
            <a:rPr lang="en-US" sz="1200">
              <a:solidFill>
                <a:schemeClr val="dk1"/>
              </a:solidFill>
              <a:latin typeface="+mn-lt"/>
              <a:ea typeface="+mn-lt"/>
              <a:cs typeface="+mn-lt"/>
            </a:rPr>
            <a:t>. </a:t>
          </a:r>
          <a:r>
            <a:rPr lang="en-US" sz="1200" b="1" u="sng">
              <a:solidFill>
                <a:schemeClr val="dk1"/>
              </a:solidFill>
              <a:latin typeface="+mn-lt"/>
              <a:ea typeface="+mn-lt"/>
              <a:cs typeface="+mn-lt"/>
            </a:rPr>
            <a:t>Geographical scope: </a:t>
          </a:r>
          <a:r>
            <a:rPr lang="en-US" sz="1200">
              <a:solidFill>
                <a:schemeClr val="dk1"/>
              </a:solidFill>
              <a:latin typeface="+mn-lt"/>
              <a:ea typeface="+mn-lt"/>
              <a:cs typeface="+mn-lt"/>
            </a:rPr>
            <a:t>The data collection can be performed based on a three-levels approach: data at local level, data at regional level and data at country level.  </a:t>
          </a:r>
          <a:endParaRPr lang="en-US" sz="1200" b="1">
            <a:solidFill>
              <a:schemeClr val="dk1"/>
            </a:solidFill>
            <a:latin typeface="+mn-lt"/>
            <a:ea typeface="+mn-lt"/>
            <a:cs typeface="+mn-lt"/>
          </a:endParaRPr>
        </a:p>
        <a:p>
          <a:pPr marL="0" indent="0"/>
          <a:r>
            <a:rPr lang="en-US" sz="1200" b="1">
              <a:solidFill>
                <a:schemeClr val="dk1"/>
              </a:solidFill>
              <a:latin typeface="+mn-lt"/>
              <a:ea typeface="+mn-lt"/>
              <a:cs typeface="+mn-lt"/>
            </a:rPr>
            <a:t>1. Data collection at local city/municipality level: </a:t>
          </a:r>
          <a:r>
            <a:rPr lang="en-US" sz="1200" b="0">
              <a:solidFill>
                <a:schemeClr val="dk1"/>
              </a:solidFill>
              <a:latin typeface="+mn-lt"/>
              <a:ea typeface="+mn-lt"/>
              <a:cs typeface="+mn-lt"/>
            </a:rPr>
            <a:t>The data at local level are the most relevant as they enable a precise description of the local energy </a:t>
          </a:r>
          <a:r>
            <a:rPr lang="en-US" sz="1200">
              <a:solidFill>
                <a:schemeClr val="dk1"/>
              </a:solidFill>
              <a:latin typeface="+mn-lt"/>
              <a:ea typeface="+mn-lt"/>
              <a:cs typeface="+mn-lt"/>
            </a:rPr>
            <a:t>demand. These data can come from the energy bills, or previous energy projects conducted in the area.  </a:t>
          </a:r>
          <a:endParaRPr lang="en-US" sz="1200" b="1">
            <a:solidFill>
              <a:schemeClr val="dk1"/>
            </a:solidFill>
            <a:latin typeface="+mn-lt"/>
            <a:ea typeface="+mn-lt"/>
            <a:cs typeface="+mn-lt"/>
          </a:endParaRPr>
        </a:p>
        <a:p>
          <a:pPr marL="0" indent="0"/>
          <a:r>
            <a:rPr lang="en-US" sz="1200" b="1">
              <a:solidFill>
                <a:schemeClr val="dk1"/>
              </a:solidFill>
              <a:latin typeface="+mn-lt"/>
              <a:ea typeface="+mn-lt"/>
              <a:cs typeface="+mn-lt"/>
            </a:rPr>
            <a:t>2. Data collection at provincial/regional level: </a:t>
          </a:r>
          <a:r>
            <a:rPr lang="en-US" sz="1200">
              <a:solidFill>
                <a:schemeClr val="dk1"/>
              </a:solidFill>
              <a:latin typeface="+mn-lt"/>
              <a:ea typeface="+mn-lt"/>
              <a:cs typeface="+mn-lt"/>
            </a:rPr>
            <a:t>If the data are not available at local level, the second most relevant source is the regional level.  </a:t>
          </a:r>
          <a:endParaRPr lang="en-US" sz="1200" b="1">
            <a:solidFill>
              <a:schemeClr val="dk1"/>
            </a:solidFill>
            <a:latin typeface="+mn-lt"/>
            <a:ea typeface="+mn-lt"/>
            <a:cs typeface="+mn-lt"/>
          </a:endParaRPr>
        </a:p>
        <a:p>
          <a:pPr marL="0" indent="0"/>
          <a:r>
            <a:rPr lang="en-US" sz="1200" b="1">
              <a:solidFill>
                <a:schemeClr val="dk1"/>
              </a:solidFill>
              <a:latin typeface="+mn-lt"/>
              <a:ea typeface="+mn-lt"/>
              <a:cs typeface="+mn-lt"/>
            </a:rPr>
            <a:t>3. Data collection at national/country level: </a:t>
          </a:r>
          <a:r>
            <a:rPr lang="en-US" sz="1200">
              <a:solidFill>
                <a:schemeClr val="dk1"/>
              </a:solidFill>
              <a:latin typeface="+mn-lt"/>
              <a:ea typeface="+mn-lt"/>
              <a:cs typeface="+mn-lt"/>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endParaRPr lang="en-US" sz="1200" b="1" i="0" u="none" strike="noStrike">
            <a:solidFill>
              <a:schemeClr val="dk1"/>
            </a:solidFill>
            <a:latin typeface="+mn-lt"/>
            <a:ea typeface="+mn-lt"/>
            <a:cs typeface="+mn-lt"/>
          </a:endParaRPr>
        </a:p>
        <a:p>
          <a:pPr marL="0" indent="0"/>
          <a:endParaRPr lang="en-US" sz="1200" b="1" i="1" u="none" strike="noStrike">
            <a:solidFill>
              <a:schemeClr val="dk1"/>
            </a:solidFill>
            <a:latin typeface="+mn-lt"/>
            <a:ea typeface="+mn-lt"/>
            <a:cs typeface="+mn-lt"/>
          </a:endParaRPr>
        </a:p>
        <a:p>
          <a:pPr marL="0" indent="0"/>
          <a:r>
            <a:rPr lang="en-US" sz="1200" i="1">
              <a:solidFill>
                <a:schemeClr val="dk1"/>
              </a:solidFill>
              <a:latin typeface="+mn-lt"/>
              <a:ea typeface="+mn-lt"/>
              <a:cs typeface="+mn-lt"/>
            </a:rPr>
            <a:t>If no quantitative data are available, please make qualititative comments that can support the definition of hypotheses.</a:t>
          </a:r>
          <a:endParaRPr lang="en-US" sz="1400" i="1">
            <a:solidFill>
              <a:schemeClr val="dk1"/>
            </a:solidFill>
            <a:latin typeface="+mn-lt"/>
            <a:ea typeface="+mn-lt"/>
            <a:cs typeface="+mn-lt"/>
          </a:endParaRPr>
        </a:p>
        <a:p>
          <a:pPr marL="0" indent="0"/>
          <a:endParaRPr lang="en-US" sz="1400">
            <a:solidFill>
              <a:schemeClr val="dk1"/>
            </a:solidFill>
            <a:latin typeface="+mn-lt"/>
            <a:ea typeface="+mn-lt"/>
            <a:cs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518160</xdr:colOff>
      <xdr:row>5</xdr:row>
      <xdr:rowOff>0</xdr:rowOff>
    </xdr:from>
    <xdr:to>
      <xdr:col>43</xdr:col>
      <xdr:colOff>20470</xdr:colOff>
      <xdr:row>25</xdr:row>
      <xdr:rowOff>0</xdr:rowOff>
    </xdr:to>
    <xdr:sp macro="" textlink="">
      <xdr:nvSpPr>
        <xdr:cNvPr id="3" name="Textfeld 2">
          <a:extLst>
            <a:ext uri="{FF2B5EF4-FFF2-40B4-BE49-F238E27FC236}">
              <a16:creationId xmlns:a16="http://schemas.microsoft.com/office/drawing/2014/main" id="{613AEABB-58CC-4EFB-B95D-EFB259693132}"/>
            </a:ext>
          </a:extLst>
        </xdr:cNvPr>
        <xdr:cNvSpPr txBox="1"/>
      </xdr:nvSpPr>
      <xdr:spPr>
        <a:xfrm>
          <a:off x="20032980" y="1478280"/>
          <a:ext cx="7350910" cy="4677785"/>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p>
        <a:p>
          <a:endParaRPr lang="en-US" sz="1400">
            <a:solidFill>
              <a:schemeClr val="dk1"/>
            </a:solidFill>
            <a:effectLst/>
            <a:latin typeface="+mn-lt"/>
            <a:ea typeface="+mn-ea"/>
            <a:cs typeface="+mn-cs"/>
          </a:endParaRPr>
        </a:p>
        <a:p>
          <a:r>
            <a:rPr lang="de-DE" sz="14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400" b="1" u="sng">
              <a:solidFill>
                <a:schemeClr val="dk1"/>
              </a:solidFill>
              <a:effectLst/>
              <a:latin typeface="+mn-lt"/>
              <a:ea typeface="+mn-ea"/>
              <a:cs typeface="+mn-cs"/>
            </a:rPr>
            <a:t>Temporal scope</a:t>
          </a:r>
          <a:r>
            <a:rPr lang="de-DE" sz="1400" u="sng">
              <a:solidFill>
                <a:schemeClr val="dk1"/>
              </a:solidFill>
              <a:effectLst/>
              <a:latin typeface="+mn-lt"/>
              <a:ea typeface="+mn-ea"/>
              <a:cs typeface="+mn-cs"/>
            </a:rPr>
            <a:t>:  </a:t>
          </a:r>
          <a:r>
            <a:rPr lang="de-DE" sz="1400">
              <a:solidFill>
                <a:schemeClr val="dk1"/>
              </a:solidFill>
              <a:effectLst/>
              <a:latin typeface="+mn-lt"/>
              <a:ea typeface="+mn-ea"/>
              <a:cs typeface="+mn-cs"/>
            </a:rPr>
            <a:t>The baseline year used within the PLENTY-LIFE framework is </a:t>
          </a:r>
          <a:r>
            <a:rPr lang="de-DE" sz="1400" b="1">
              <a:solidFill>
                <a:schemeClr val="dk1"/>
              </a:solidFill>
              <a:effectLst/>
              <a:latin typeface="+mn-lt"/>
              <a:ea typeface="+mn-ea"/>
              <a:cs typeface="+mn-cs"/>
            </a:rPr>
            <a:t>2018-2019</a:t>
          </a:r>
          <a:r>
            <a:rPr lang="de-DE" sz="1400">
              <a:solidFill>
                <a:schemeClr val="dk1"/>
              </a:solidFill>
              <a:effectLst/>
              <a:latin typeface="+mn-lt"/>
              <a:ea typeface="+mn-ea"/>
              <a:cs typeface="+mn-cs"/>
            </a:rPr>
            <a:t>. </a:t>
          </a:r>
          <a:r>
            <a:rPr lang="de-DE" sz="1400" b="1" u="sng">
              <a:solidFill>
                <a:schemeClr val="dk1"/>
              </a:solidFill>
              <a:effectLst/>
              <a:latin typeface="+mn-lt"/>
              <a:ea typeface="+mn-ea"/>
              <a:cs typeface="+mn-cs"/>
            </a:rPr>
            <a:t>Geographical scope: </a:t>
          </a:r>
          <a:r>
            <a:rPr lang="de-DE" sz="14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400" b="1">
              <a:solidFill>
                <a:schemeClr val="dk1"/>
              </a:solidFill>
              <a:effectLst/>
              <a:latin typeface="+mn-lt"/>
              <a:ea typeface="+mn-ea"/>
              <a:cs typeface="+mn-cs"/>
            </a:rPr>
            <a:t>1. Data collection at local city/municipality level: </a:t>
          </a:r>
          <a:r>
            <a:rPr lang="de-DE" sz="1400" b="0">
              <a:solidFill>
                <a:schemeClr val="dk1"/>
              </a:solidFill>
              <a:effectLst/>
              <a:latin typeface="+mn-lt"/>
              <a:ea typeface="+mn-ea"/>
              <a:cs typeface="+mn-cs"/>
            </a:rPr>
            <a:t>The data at local level are the most relevant as they enable a precise description of the local energy </a:t>
          </a:r>
          <a:r>
            <a:rPr lang="de-DE" sz="1400">
              <a:solidFill>
                <a:schemeClr val="dk1"/>
              </a:solidFill>
              <a:effectLst/>
              <a:latin typeface="+mn-lt"/>
              <a:ea typeface="+mn-ea"/>
              <a:cs typeface="+mn-cs"/>
            </a:rPr>
            <a:t>demand. These data can come from the energy bills, or previous energy projects conducted in the area.  </a:t>
          </a:r>
        </a:p>
        <a:p>
          <a:r>
            <a:rPr lang="de-DE" sz="1400" b="1">
              <a:solidFill>
                <a:schemeClr val="dk1"/>
              </a:solidFill>
              <a:effectLst/>
              <a:latin typeface="+mn-lt"/>
              <a:ea typeface="+mn-ea"/>
              <a:cs typeface="+mn-cs"/>
            </a:rPr>
            <a:t>2. Data collection at provincial/regional level: </a:t>
          </a:r>
          <a:r>
            <a:rPr lang="de-DE" sz="1400">
              <a:solidFill>
                <a:schemeClr val="dk1"/>
              </a:solidFill>
              <a:effectLst/>
              <a:latin typeface="+mn-lt"/>
              <a:ea typeface="+mn-ea"/>
              <a:cs typeface="+mn-cs"/>
            </a:rPr>
            <a:t>If the data are not available at local level, the second most relevant source is the regional level.  </a:t>
          </a:r>
        </a:p>
        <a:p>
          <a:r>
            <a:rPr lang="de-DE" sz="1400" b="1">
              <a:solidFill>
                <a:schemeClr val="dk1"/>
              </a:solidFill>
              <a:effectLst/>
              <a:latin typeface="+mn-lt"/>
              <a:ea typeface="+mn-ea"/>
              <a:cs typeface="+mn-cs"/>
            </a:rPr>
            <a:t>3. Data collection at national/country level: </a:t>
          </a:r>
          <a:r>
            <a:rPr lang="de-DE" sz="14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400" b="1" i="0" u="none" strike="noStrike">
            <a:solidFill>
              <a:schemeClr val="dk1"/>
            </a:solidFill>
            <a:effectLst/>
            <a:latin typeface="+mn-lt"/>
            <a:ea typeface="+mn-ea"/>
            <a:cs typeface="+mn-cs"/>
          </a:endParaRPr>
        </a:p>
        <a:p>
          <a:r>
            <a:rPr lang="de-DE" sz="14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twoCellAnchor>
    <xdr:from>
      <xdr:col>1</xdr:col>
      <xdr:colOff>0</xdr:colOff>
      <xdr:row>16</xdr:row>
      <xdr:rowOff>0</xdr:rowOff>
    </xdr:from>
    <xdr:to>
      <xdr:col>4</xdr:col>
      <xdr:colOff>225834</xdr:colOff>
      <xdr:row>45</xdr:row>
      <xdr:rowOff>137583</xdr:rowOff>
    </xdr:to>
    <xdr:sp macro="" textlink="">
      <xdr:nvSpPr>
        <xdr:cNvPr id="5" name="Textfeld 4">
          <a:extLst>
            <a:ext uri="{FF2B5EF4-FFF2-40B4-BE49-F238E27FC236}">
              <a16:creationId xmlns:a16="http://schemas.microsoft.com/office/drawing/2014/main" id="{527A9042-99C0-4428-8D59-FFBA03C051B0}"/>
            </a:ext>
          </a:extLst>
        </xdr:cNvPr>
        <xdr:cNvSpPr txBox="1"/>
      </xdr:nvSpPr>
      <xdr:spPr>
        <a:xfrm>
          <a:off x="243417" y="4275667"/>
          <a:ext cx="3168000" cy="613833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endParaRPr lang="en-US" sz="1200">
            <a:solidFill>
              <a:schemeClr val="dk1"/>
            </a:solidFill>
            <a:effectLst/>
            <a:latin typeface="+mn-lt"/>
            <a:ea typeface="+mn-ea"/>
            <a:cs typeface="+mn-cs"/>
          </a:endParaRPr>
        </a:p>
        <a:p>
          <a:r>
            <a:rPr lang="de-DE" sz="12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200" b="1" u="sng">
              <a:solidFill>
                <a:schemeClr val="dk1"/>
              </a:solidFill>
              <a:effectLst/>
              <a:latin typeface="+mn-lt"/>
              <a:ea typeface="+mn-ea"/>
              <a:cs typeface="+mn-cs"/>
            </a:rPr>
            <a:t>Temporal scope</a:t>
          </a:r>
          <a:r>
            <a:rPr lang="de-DE" sz="1200" u="sng">
              <a:solidFill>
                <a:schemeClr val="dk1"/>
              </a:solidFill>
              <a:effectLst/>
              <a:latin typeface="+mn-lt"/>
              <a:ea typeface="+mn-ea"/>
              <a:cs typeface="+mn-cs"/>
            </a:rPr>
            <a:t>:  </a:t>
          </a:r>
          <a:r>
            <a:rPr lang="de-DE" sz="1200">
              <a:solidFill>
                <a:schemeClr val="dk1"/>
              </a:solidFill>
              <a:effectLst/>
              <a:latin typeface="+mn-lt"/>
              <a:ea typeface="+mn-ea"/>
              <a:cs typeface="+mn-cs"/>
            </a:rPr>
            <a:t>The baseline year used within the PLENTY-LIFE framework is </a:t>
          </a:r>
          <a:r>
            <a:rPr lang="de-DE" sz="1200" b="1">
              <a:solidFill>
                <a:schemeClr val="dk1"/>
              </a:solidFill>
              <a:effectLst/>
              <a:latin typeface="+mn-lt"/>
              <a:ea typeface="+mn-ea"/>
              <a:cs typeface="+mn-cs"/>
            </a:rPr>
            <a:t>2018-2019</a:t>
          </a:r>
          <a:r>
            <a:rPr lang="de-DE" sz="1200">
              <a:solidFill>
                <a:schemeClr val="dk1"/>
              </a:solidFill>
              <a:effectLst/>
              <a:latin typeface="+mn-lt"/>
              <a:ea typeface="+mn-ea"/>
              <a:cs typeface="+mn-cs"/>
            </a:rPr>
            <a:t>. </a:t>
          </a:r>
          <a:r>
            <a:rPr lang="de-DE" sz="1200" b="1" u="sng">
              <a:solidFill>
                <a:schemeClr val="dk1"/>
              </a:solidFill>
              <a:effectLst/>
              <a:latin typeface="+mn-lt"/>
              <a:ea typeface="+mn-ea"/>
              <a:cs typeface="+mn-cs"/>
            </a:rPr>
            <a:t>Geographical scope: </a:t>
          </a:r>
          <a:r>
            <a:rPr lang="de-DE" sz="12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200" b="1">
              <a:solidFill>
                <a:schemeClr val="dk1"/>
              </a:solidFill>
              <a:effectLst/>
              <a:latin typeface="+mn-lt"/>
              <a:ea typeface="+mn-ea"/>
              <a:cs typeface="+mn-cs"/>
            </a:rPr>
            <a:t>1. Data collection at local city/municipality level: </a:t>
          </a:r>
          <a:r>
            <a:rPr lang="de-DE" sz="1200" b="0">
              <a:solidFill>
                <a:schemeClr val="dk1"/>
              </a:solidFill>
              <a:effectLst/>
              <a:latin typeface="+mn-lt"/>
              <a:ea typeface="+mn-ea"/>
              <a:cs typeface="+mn-cs"/>
            </a:rPr>
            <a:t>The data at local level are the most relevant as they enable a precise description of the local energy </a:t>
          </a:r>
          <a:r>
            <a:rPr lang="de-DE" sz="1200">
              <a:solidFill>
                <a:schemeClr val="dk1"/>
              </a:solidFill>
              <a:effectLst/>
              <a:latin typeface="+mn-lt"/>
              <a:ea typeface="+mn-ea"/>
              <a:cs typeface="+mn-cs"/>
            </a:rPr>
            <a:t>demand. These data can come from the energy bills, or previous energy projects conducted in the area.  </a:t>
          </a:r>
        </a:p>
        <a:p>
          <a:r>
            <a:rPr lang="de-DE" sz="1200" b="1">
              <a:solidFill>
                <a:schemeClr val="dk1"/>
              </a:solidFill>
              <a:effectLst/>
              <a:latin typeface="+mn-lt"/>
              <a:ea typeface="+mn-ea"/>
              <a:cs typeface="+mn-cs"/>
            </a:rPr>
            <a:t>2. Data collection at provincial/regional level: </a:t>
          </a:r>
          <a:r>
            <a:rPr lang="de-DE" sz="1200">
              <a:solidFill>
                <a:schemeClr val="dk1"/>
              </a:solidFill>
              <a:effectLst/>
              <a:latin typeface="+mn-lt"/>
              <a:ea typeface="+mn-ea"/>
              <a:cs typeface="+mn-cs"/>
            </a:rPr>
            <a:t>If the data are not available at local level, the second most relevant source is the regional level.  </a:t>
          </a:r>
        </a:p>
        <a:p>
          <a:r>
            <a:rPr lang="de-DE" sz="1200" b="1">
              <a:solidFill>
                <a:schemeClr val="dk1"/>
              </a:solidFill>
              <a:effectLst/>
              <a:latin typeface="+mn-lt"/>
              <a:ea typeface="+mn-ea"/>
              <a:cs typeface="+mn-cs"/>
            </a:rPr>
            <a:t>3. Data collection at national/country level: </a:t>
          </a:r>
          <a:r>
            <a:rPr lang="de-DE" sz="12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200" b="1" i="0" u="none" strike="noStrike">
            <a:solidFill>
              <a:schemeClr val="dk1"/>
            </a:solidFill>
            <a:effectLst/>
            <a:latin typeface="+mn-lt"/>
            <a:ea typeface="+mn-ea"/>
            <a:cs typeface="+mn-cs"/>
          </a:endParaRPr>
        </a:p>
        <a:p>
          <a:r>
            <a:rPr lang="de-DE" sz="12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18</xdr:row>
      <xdr:rowOff>0</xdr:rowOff>
    </xdr:from>
    <xdr:to>
      <xdr:col>4</xdr:col>
      <xdr:colOff>225834</xdr:colOff>
      <xdr:row>42</xdr:row>
      <xdr:rowOff>0</xdr:rowOff>
    </xdr:to>
    <xdr:sp macro="" textlink="">
      <xdr:nvSpPr>
        <xdr:cNvPr id="2" name="Textfeld 1">
          <a:extLst>
            <a:ext uri="{FF2B5EF4-FFF2-40B4-BE49-F238E27FC236}">
              <a16:creationId xmlns:a16="http://schemas.microsoft.com/office/drawing/2014/main" id="{3FCFD345-D74B-4DF8-8DE8-F690179DD6AB}"/>
            </a:ext>
          </a:extLst>
        </xdr:cNvPr>
        <xdr:cNvSpPr txBox="1"/>
      </xdr:nvSpPr>
      <xdr:spPr>
        <a:xfrm>
          <a:off x="243417" y="4900083"/>
          <a:ext cx="3168000" cy="613833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endParaRPr lang="en-US" sz="1200">
            <a:solidFill>
              <a:schemeClr val="dk1"/>
            </a:solidFill>
            <a:effectLst/>
            <a:latin typeface="+mn-lt"/>
            <a:ea typeface="+mn-ea"/>
            <a:cs typeface="+mn-cs"/>
          </a:endParaRPr>
        </a:p>
        <a:p>
          <a:r>
            <a:rPr lang="de-DE" sz="12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200" b="1" u="sng">
              <a:solidFill>
                <a:schemeClr val="dk1"/>
              </a:solidFill>
              <a:effectLst/>
              <a:latin typeface="+mn-lt"/>
              <a:ea typeface="+mn-ea"/>
              <a:cs typeface="+mn-cs"/>
            </a:rPr>
            <a:t>Temporal scope</a:t>
          </a:r>
          <a:r>
            <a:rPr lang="de-DE" sz="1200" u="sng">
              <a:solidFill>
                <a:schemeClr val="dk1"/>
              </a:solidFill>
              <a:effectLst/>
              <a:latin typeface="+mn-lt"/>
              <a:ea typeface="+mn-ea"/>
              <a:cs typeface="+mn-cs"/>
            </a:rPr>
            <a:t>:  </a:t>
          </a:r>
          <a:r>
            <a:rPr lang="de-DE" sz="1200">
              <a:solidFill>
                <a:schemeClr val="dk1"/>
              </a:solidFill>
              <a:effectLst/>
              <a:latin typeface="+mn-lt"/>
              <a:ea typeface="+mn-ea"/>
              <a:cs typeface="+mn-cs"/>
            </a:rPr>
            <a:t>The baseline year used within the PLENTY-LIFE framework is </a:t>
          </a:r>
          <a:r>
            <a:rPr lang="de-DE" sz="1200" b="1">
              <a:solidFill>
                <a:schemeClr val="dk1"/>
              </a:solidFill>
              <a:effectLst/>
              <a:latin typeface="+mn-lt"/>
              <a:ea typeface="+mn-ea"/>
              <a:cs typeface="+mn-cs"/>
            </a:rPr>
            <a:t>2018-2019</a:t>
          </a:r>
          <a:r>
            <a:rPr lang="de-DE" sz="1200">
              <a:solidFill>
                <a:schemeClr val="dk1"/>
              </a:solidFill>
              <a:effectLst/>
              <a:latin typeface="+mn-lt"/>
              <a:ea typeface="+mn-ea"/>
              <a:cs typeface="+mn-cs"/>
            </a:rPr>
            <a:t>. </a:t>
          </a:r>
          <a:r>
            <a:rPr lang="de-DE" sz="1200" b="1" u="sng">
              <a:solidFill>
                <a:schemeClr val="dk1"/>
              </a:solidFill>
              <a:effectLst/>
              <a:latin typeface="+mn-lt"/>
              <a:ea typeface="+mn-ea"/>
              <a:cs typeface="+mn-cs"/>
            </a:rPr>
            <a:t>Geographical scope: </a:t>
          </a:r>
          <a:r>
            <a:rPr lang="de-DE" sz="12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200" b="1">
              <a:solidFill>
                <a:schemeClr val="dk1"/>
              </a:solidFill>
              <a:effectLst/>
              <a:latin typeface="+mn-lt"/>
              <a:ea typeface="+mn-ea"/>
              <a:cs typeface="+mn-cs"/>
            </a:rPr>
            <a:t>1. Data collection at local city/municipality level: </a:t>
          </a:r>
          <a:r>
            <a:rPr lang="de-DE" sz="1200" b="0">
              <a:solidFill>
                <a:schemeClr val="dk1"/>
              </a:solidFill>
              <a:effectLst/>
              <a:latin typeface="+mn-lt"/>
              <a:ea typeface="+mn-ea"/>
              <a:cs typeface="+mn-cs"/>
            </a:rPr>
            <a:t>The data at local level are the most relevant as they enable a precise description of the local energy </a:t>
          </a:r>
          <a:r>
            <a:rPr lang="de-DE" sz="1200">
              <a:solidFill>
                <a:schemeClr val="dk1"/>
              </a:solidFill>
              <a:effectLst/>
              <a:latin typeface="+mn-lt"/>
              <a:ea typeface="+mn-ea"/>
              <a:cs typeface="+mn-cs"/>
            </a:rPr>
            <a:t>demand. These data can come from the energy bills, or previous energy projects conducted in the area.  </a:t>
          </a:r>
        </a:p>
        <a:p>
          <a:r>
            <a:rPr lang="de-DE" sz="1200" b="1">
              <a:solidFill>
                <a:schemeClr val="dk1"/>
              </a:solidFill>
              <a:effectLst/>
              <a:latin typeface="+mn-lt"/>
              <a:ea typeface="+mn-ea"/>
              <a:cs typeface="+mn-cs"/>
            </a:rPr>
            <a:t>2. Data collection at provincial/regional level: </a:t>
          </a:r>
          <a:r>
            <a:rPr lang="de-DE" sz="1200">
              <a:solidFill>
                <a:schemeClr val="dk1"/>
              </a:solidFill>
              <a:effectLst/>
              <a:latin typeface="+mn-lt"/>
              <a:ea typeface="+mn-ea"/>
              <a:cs typeface="+mn-cs"/>
            </a:rPr>
            <a:t>If the data are not available at local level, the second most relevant source is the regional level.  </a:t>
          </a:r>
        </a:p>
        <a:p>
          <a:r>
            <a:rPr lang="de-DE" sz="1200" b="1">
              <a:solidFill>
                <a:schemeClr val="dk1"/>
              </a:solidFill>
              <a:effectLst/>
              <a:latin typeface="+mn-lt"/>
              <a:ea typeface="+mn-ea"/>
              <a:cs typeface="+mn-cs"/>
            </a:rPr>
            <a:t>3. Data collection at national/country level: </a:t>
          </a:r>
          <a:r>
            <a:rPr lang="de-DE" sz="12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200" b="1" i="0" u="none" strike="noStrike">
            <a:solidFill>
              <a:schemeClr val="dk1"/>
            </a:solidFill>
            <a:effectLst/>
            <a:latin typeface="+mn-lt"/>
            <a:ea typeface="+mn-ea"/>
            <a:cs typeface="+mn-cs"/>
          </a:endParaRPr>
        </a:p>
        <a:p>
          <a:r>
            <a:rPr lang="de-DE" sz="12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16</xdr:row>
      <xdr:rowOff>0</xdr:rowOff>
    </xdr:from>
    <xdr:to>
      <xdr:col>4</xdr:col>
      <xdr:colOff>225834</xdr:colOff>
      <xdr:row>40</xdr:row>
      <xdr:rowOff>0</xdr:rowOff>
    </xdr:to>
    <xdr:sp macro="" textlink="">
      <xdr:nvSpPr>
        <xdr:cNvPr id="2" name="Textfeld 1">
          <a:extLst>
            <a:ext uri="{FF2B5EF4-FFF2-40B4-BE49-F238E27FC236}">
              <a16:creationId xmlns:a16="http://schemas.microsoft.com/office/drawing/2014/main" id="{B0ECF685-6B5B-4629-BA20-B4637F5D7F64}"/>
            </a:ext>
          </a:extLst>
        </xdr:cNvPr>
        <xdr:cNvSpPr txBox="1"/>
      </xdr:nvSpPr>
      <xdr:spPr>
        <a:xfrm>
          <a:off x="243417" y="4413250"/>
          <a:ext cx="3168000" cy="613833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endParaRPr lang="en-US" sz="1200">
            <a:solidFill>
              <a:schemeClr val="dk1"/>
            </a:solidFill>
            <a:effectLst/>
            <a:latin typeface="+mn-lt"/>
            <a:ea typeface="+mn-ea"/>
            <a:cs typeface="+mn-cs"/>
          </a:endParaRPr>
        </a:p>
        <a:p>
          <a:r>
            <a:rPr lang="de-DE" sz="12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200" b="1" u="sng">
              <a:solidFill>
                <a:schemeClr val="dk1"/>
              </a:solidFill>
              <a:effectLst/>
              <a:latin typeface="+mn-lt"/>
              <a:ea typeface="+mn-ea"/>
              <a:cs typeface="+mn-cs"/>
            </a:rPr>
            <a:t>Temporal scope</a:t>
          </a:r>
          <a:r>
            <a:rPr lang="de-DE" sz="1200" u="sng">
              <a:solidFill>
                <a:schemeClr val="dk1"/>
              </a:solidFill>
              <a:effectLst/>
              <a:latin typeface="+mn-lt"/>
              <a:ea typeface="+mn-ea"/>
              <a:cs typeface="+mn-cs"/>
            </a:rPr>
            <a:t>:  </a:t>
          </a:r>
          <a:r>
            <a:rPr lang="de-DE" sz="1200">
              <a:solidFill>
                <a:schemeClr val="dk1"/>
              </a:solidFill>
              <a:effectLst/>
              <a:latin typeface="+mn-lt"/>
              <a:ea typeface="+mn-ea"/>
              <a:cs typeface="+mn-cs"/>
            </a:rPr>
            <a:t>The baseline year used within the PLENTY-LIFE framework is </a:t>
          </a:r>
          <a:r>
            <a:rPr lang="de-DE" sz="1200" b="1">
              <a:solidFill>
                <a:schemeClr val="dk1"/>
              </a:solidFill>
              <a:effectLst/>
              <a:latin typeface="+mn-lt"/>
              <a:ea typeface="+mn-ea"/>
              <a:cs typeface="+mn-cs"/>
            </a:rPr>
            <a:t>2018-2019</a:t>
          </a:r>
          <a:r>
            <a:rPr lang="de-DE" sz="1200">
              <a:solidFill>
                <a:schemeClr val="dk1"/>
              </a:solidFill>
              <a:effectLst/>
              <a:latin typeface="+mn-lt"/>
              <a:ea typeface="+mn-ea"/>
              <a:cs typeface="+mn-cs"/>
            </a:rPr>
            <a:t>. </a:t>
          </a:r>
          <a:r>
            <a:rPr lang="de-DE" sz="1200" b="1" u="sng">
              <a:solidFill>
                <a:schemeClr val="dk1"/>
              </a:solidFill>
              <a:effectLst/>
              <a:latin typeface="+mn-lt"/>
              <a:ea typeface="+mn-ea"/>
              <a:cs typeface="+mn-cs"/>
            </a:rPr>
            <a:t>Geographical scope: </a:t>
          </a:r>
          <a:r>
            <a:rPr lang="de-DE" sz="12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200" b="1">
              <a:solidFill>
                <a:schemeClr val="dk1"/>
              </a:solidFill>
              <a:effectLst/>
              <a:latin typeface="+mn-lt"/>
              <a:ea typeface="+mn-ea"/>
              <a:cs typeface="+mn-cs"/>
            </a:rPr>
            <a:t>1. Data collection at local city/municipality level: </a:t>
          </a:r>
          <a:r>
            <a:rPr lang="de-DE" sz="1200" b="0">
              <a:solidFill>
                <a:schemeClr val="dk1"/>
              </a:solidFill>
              <a:effectLst/>
              <a:latin typeface="+mn-lt"/>
              <a:ea typeface="+mn-ea"/>
              <a:cs typeface="+mn-cs"/>
            </a:rPr>
            <a:t>The data at local level are the most relevant as they enable a precise description of the local energy </a:t>
          </a:r>
          <a:r>
            <a:rPr lang="de-DE" sz="1200">
              <a:solidFill>
                <a:schemeClr val="dk1"/>
              </a:solidFill>
              <a:effectLst/>
              <a:latin typeface="+mn-lt"/>
              <a:ea typeface="+mn-ea"/>
              <a:cs typeface="+mn-cs"/>
            </a:rPr>
            <a:t>demand. These data can come from the energy bills, or previous energy projects conducted in the area.  </a:t>
          </a:r>
        </a:p>
        <a:p>
          <a:r>
            <a:rPr lang="de-DE" sz="1200" b="1">
              <a:solidFill>
                <a:schemeClr val="dk1"/>
              </a:solidFill>
              <a:effectLst/>
              <a:latin typeface="+mn-lt"/>
              <a:ea typeface="+mn-ea"/>
              <a:cs typeface="+mn-cs"/>
            </a:rPr>
            <a:t>2. Data collection at provincial/regional level: </a:t>
          </a:r>
          <a:r>
            <a:rPr lang="de-DE" sz="1200">
              <a:solidFill>
                <a:schemeClr val="dk1"/>
              </a:solidFill>
              <a:effectLst/>
              <a:latin typeface="+mn-lt"/>
              <a:ea typeface="+mn-ea"/>
              <a:cs typeface="+mn-cs"/>
            </a:rPr>
            <a:t>If the data are not available at local level, the second most relevant source is the regional level.  </a:t>
          </a:r>
        </a:p>
        <a:p>
          <a:r>
            <a:rPr lang="de-DE" sz="1200" b="1">
              <a:solidFill>
                <a:schemeClr val="dk1"/>
              </a:solidFill>
              <a:effectLst/>
              <a:latin typeface="+mn-lt"/>
              <a:ea typeface="+mn-ea"/>
              <a:cs typeface="+mn-cs"/>
            </a:rPr>
            <a:t>3. Data collection at national/country level: </a:t>
          </a:r>
          <a:r>
            <a:rPr lang="de-DE" sz="12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200" b="1" i="0" u="none" strike="noStrike">
            <a:solidFill>
              <a:schemeClr val="dk1"/>
            </a:solidFill>
            <a:effectLst/>
            <a:latin typeface="+mn-lt"/>
            <a:ea typeface="+mn-ea"/>
            <a:cs typeface="+mn-cs"/>
          </a:endParaRPr>
        </a:p>
        <a:p>
          <a:r>
            <a:rPr lang="de-DE" sz="12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19</xdr:row>
      <xdr:rowOff>0</xdr:rowOff>
    </xdr:from>
    <xdr:to>
      <xdr:col>4</xdr:col>
      <xdr:colOff>225834</xdr:colOff>
      <xdr:row>44</xdr:row>
      <xdr:rowOff>52916</xdr:rowOff>
    </xdr:to>
    <xdr:sp macro="" textlink="">
      <xdr:nvSpPr>
        <xdr:cNvPr id="2" name="Textfeld 1">
          <a:extLst>
            <a:ext uri="{FF2B5EF4-FFF2-40B4-BE49-F238E27FC236}">
              <a16:creationId xmlns:a16="http://schemas.microsoft.com/office/drawing/2014/main" id="{3498DBB9-67DB-439C-AA38-B72DB81CB268}"/>
            </a:ext>
          </a:extLst>
        </xdr:cNvPr>
        <xdr:cNvSpPr txBox="1"/>
      </xdr:nvSpPr>
      <xdr:spPr>
        <a:xfrm>
          <a:off x="243417" y="5143500"/>
          <a:ext cx="3168000" cy="613833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endParaRPr lang="en-US" sz="1200">
            <a:solidFill>
              <a:schemeClr val="dk1"/>
            </a:solidFill>
            <a:effectLst/>
            <a:latin typeface="+mn-lt"/>
            <a:ea typeface="+mn-ea"/>
            <a:cs typeface="+mn-cs"/>
          </a:endParaRPr>
        </a:p>
        <a:p>
          <a:r>
            <a:rPr lang="de-DE" sz="12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200" b="1" u="sng">
              <a:solidFill>
                <a:schemeClr val="dk1"/>
              </a:solidFill>
              <a:effectLst/>
              <a:latin typeface="+mn-lt"/>
              <a:ea typeface="+mn-ea"/>
              <a:cs typeface="+mn-cs"/>
            </a:rPr>
            <a:t>Temporal scope</a:t>
          </a:r>
          <a:r>
            <a:rPr lang="de-DE" sz="1200" u="sng">
              <a:solidFill>
                <a:schemeClr val="dk1"/>
              </a:solidFill>
              <a:effectLst/>
              <a:latin typeface="+mn-lt"/>
              <a:ea typeface="+mn-ea"/>
              <a:cs typeface="+mn-cs"/>
            </a:rPr>
            <a:t>:  </a:t>
          </a:r>
          <a:r>
            <a:rPr lang="de-DE" sz="1200">
              <a:solidFill>
                <a:schemeClr val="dk1"/>
              </a:solidFill>
              <a:effectLst/>
              <a:latin typeface="+mn-lt"/>
              <a:ea typeface="+mn-ea"/>
              <a:cs typeface="+mn-cs"/>
            </a:rPr>
            <a:t>The baseline year used within the PLENTY-LIFE framework is </a:t>
          </a:r>
          <a:r>
            <a:rPr lang="de-DE" sz="1200" b="1">
              <a:solidFill>
                <a:schemeClr val="dk1"/>
              </a:solidFill>
              <a:effectLst/>
              <a:latin typeface="+mn-lt"/>
              <a:ea typeface="+mn-ea"/>
              <a:cs typeface="+mn-cs"/>
            </a:rPr>
            <a:t>2018-2019</a:t>
          </a:r>
          <a:r>
            <a:rPr lang="de-DE" sz="1200">
              <a:solidFill>
                <a:schemeClr val="dk1"/>
              </a:solidFill>
              <a:effectLst/>
              <a:latin typeface="+mn-lt"/>
              <a:ea typeface="+mn-ea"/>
              <a:cs typeface="+mn-cs"/>
            </a:rPr>
            <a:t>. </a:t>
          </a:r>
          <a:r>
            <a:rPr lang="de-DE" sz="1200" b="1" u="sng">
              <a:solidFill>
                <a:schemeClr val="dk1"/>
              </a:solidFill>
              <a:effectLst/>
              <a:latin typeface="+mn-lt"/>
              <a:ea typeface="+mn-ea"/>
              <a:cs typeface="+mn-cs"/>
            </a:rPr>
            <a:t>Geographical scope: </a:t>
          </a:r>
          <a:r>
            <a:rPr lang="de-DE" sz="12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200" b="1">
              <a:solidFill>
                <a:schemeClr val="dk1"/>
              </a:solidFill>
              <a:effectLst/>
              <a:latin typeface="+mn-lt"/>
              <a:ea typeface="+mn-ea"/>
              <a:cs typeface="+mn-cs"/>
            </a:rPr>
            <a:t>1. Data collection at local city/municipality level: </a:t>
          </a:r>
          <a:r>
            <a:rPr lang="de-DE" sz="1200" b="0">
              <a:solidFill>
                <a:schemeClr val="dk1"/>
              </a:solidFill>
              <a:effectLst/>
              <a:latin typeface="+mn-lt"/>
              <a:ea typeface="+mn-ea"/>
              <a:cs typeface="+mn-cs"/>
            </a:rPr>
            <a:t>The data at local level are the most relevant as they enable a precise description of the local energy </a:t>
          </a:r>
          <a:r>
            <a:rPr lang="de-DE" sz="1200">
              <a:solidFill>
                <a:schemeClr val="dk1"/>
              </a:solidFill>
              <a:effectLst/>
              <a:latin typeface="+mn-lt"/>
              <a:ea typeface="+mn-ea"/>
              <a:cs typeface="+mn-cs"/>
            </a:rPr>
            <a:t>demand. These data can come from the energy bills, or previous energy projects conducted in the area.  </a:t>
          </a:r>
        </a:p>
        <a:p>
          <a:r>
            <a:rPr lang="de-DE" sz="1200" b="1">
              <a:solidFill>
                <a:schemeClr val="dk1"/>
              </a:solidFill>
              <a:effectLst/>
              <a:latin typeface="+mn-lt"/>
              <a:ea typeface="+mn-ea"/>
              <a:cs typeface="+mn-cs"/>
            </a:rPr>
            <a:t>2. Data collection at provincial/regional level: </a:t>
          </a:r>
          <a:r>
            <a:rPr lang="de-DE" sz="1200">
              <a:solidFill>
                <a:schemeClr val="dk1"/>
              </a:solidFill>
              <a:effectLst/>
              <a:latin typeface="+mn-lt"/>
              <a:ea typeface="+mn-ea"/>
              <a:cs typeface="+mn-cs"/>
            </a:rPr>
            <a:t>If the data are not available at local level, the second most relevant source is the regional level.  </a:t>
          </a:r>
        </a:p>
        <a:p>
          <a:r>
            <a:rPr lang="de-DE" sz="1200" b="1">
              <a:solidFill>
                <a:schemeClr val="dk1"/>
              </a:solidFill>
              <a:effectLst/>
              <a:latin typeface="+mn-lt"/>
              <a:ea typeface="+mn-ea"/>
              <a:cs typeface="+mn-cs"/>
            </a:rPr>
            <a:t>3. Data collection at national/country level: </a:t>
          </a:r>
          <a:r>
            <a:rPr lang="de-DE" sz="12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200" b="1" i="0" u="none" strike="noStrike">
            <a:solidFill>
              <a:schemeClr val="dk1"/>
            </a:solidFill>
            <a:effectLst/>
            <a:latin typeface="+mn-lt"/>
            <a:ea typeface="+mn-ea"/>
            <a:cs typeface="+mn-cs"/>
          </a:endParaRPr>
        </a:p>
        <a:p>
          <a:r>
            <a:rPr lang="de-DE" sz="12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18</xdr:row>
      <xdr:rowOff>0</xdr:rowOff>
    </xdr:from>
    <xdr:to>
      <xdr:col>4</xdr:col>
      <xdr:colOff>226875</xdr:colOff>
      <xdr:row>43</xdr:row>
      <xdr:rowOff>173301</xdr:rowOff>
    </xdr:to>
    <xdr:sp macro="" textlink="">
      <xdr:nvSpPr>
        <xdr:cNvPr id="4" name="Textfeld 3">
          <a:extLst>
            <a:ext uri="{FF2B5EF4-FFF2-40B4-BE49-F238E27FC236}">
              <a16:creationId xmlns:a16="http://schemas.microsoft.com/office/drawing/2014/main" id="{53E81E9F-3AEC-4E33-9D66-C9E6E94AC4EA}"/>
            </a:ext>
          </a:extLst>
        </xdr:cNvPr>
        <xdr:cNvSpPr txBox="1"/>
      </xdr:nvSpPr>
      <xdr:spPr>
        <a:xfrm>
          <a:off x="250031" y="5012531"/>
          <a:ext cx="3132000" cy="613833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endParaRPr lang="en-US" sz="1200">
            <a:solidFill>
              <a:schemeClr val="dk1"/>
            </a:solidFill>
            <a:effectLst/>
            <a:latin typeface="+mn-lt"/>
            <a:ea typeface="+mn-ea"/>
            <a:cs typeface="+mn-cs"/>
          </a:endParaRPr>
        </a:p>
        <a:p>
          <a:r>
            <a:rPr lang="de-DE" sz="12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200" b="1" u="sng">
              <a:solidFill>
                <a:schemeClr val="dk1"/>
              </a:solidFill>
              <a:effectLst/>
              <a:latin typeface="+mn-lt"/>
              <a:ea typeface="+mn-ea"/>
              <a:cs typeface="+mn-cs"/>
            </a:rPr>
            <a:t>Temporal scope</a:t>
          </a:r>
          <a:r>
            <a:rPr lang="de-DE" sz="1200" u="sng">
              <a:solidFill>
                <a:schemeClr val="dk1"/>
              </a:solidFill>
              <a:effectLst/>
              <a:latin typeface="+mn-lt"/>
              <a:ea typeface="+mn-ea"/>
              <a:cs typeface="+mn-cs"/>
            </a:rPr>
            <a:t>:  </a:t>
          </a:r>
          <a:r>
            <a:rPr lang="de-DE" sz="1200">
              <a:solidFill>
                <a:schemeClr val="dk1"/>
              </a:solidFill>
              <a:effectLst/>
              <a:latin typeface="+mn-lt"/>
              <a:ea typeface="+mn-ea"/>
              <a:cs typeface="+mn-cs"/>
            </a:rPr>
            <a:t>The baseline year used within the PLENTY-LIFE framework is </a:t>
          </a:r>
          <a:r>
            <a:rPr lang="de-DE" sz="1200" b="1">
              <a:solidFill>
                <a:schemeClr val="dk1"/>
              </a:solidFill>
              <a:effectLst/>
              <a:latin typeface="+mn-lt"/>
              <a:ea typeface="+mn-ea"/>
              <a:cs typeface="+mn-cs"/>
            </a:rPr>
            <a:t>2018-2019</a:t>
          </a:r>
          <a:r>
            <a:rPr lang="de-DE" sz="1200">
              <a:solidFill>
                <a:schemeClr val="dk1"/>
              </a:solidFill>
              <a:effectLst/>
              <a:latin typeface="+mn-lt"/>
              <a:ea typeface="+mn-ea"/>
              <a:cs typeface="+mn-cs"/>
            </a:rPr>
            <a:t>. </a:t>
          </a:r>
          <a:r>
            <a:rPr lang="de-DE" sz="1200" b="1" u="sng">
              <a:solidFill>
                <a:schemeClr val="dk1"/>
              </a:solidFill>
              <a:effectLst/>
              <a:latin typeface="+mn-lt"/>
              <a:ea typeface="+mn-ea"/>
              <a:cs typeface="+mn-cs"/>
            </a:rPr>
            <a:t>Geographical scope: </a:t>
          </a:r>
          <a:r>
            <a:rPr lang="de-DE" sz="12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200" b="1">
              <a:solidFill>
                <a:schemeClr val="dk1"/>
              </a:solidFill>
              <a:effectLst/>
              <a:latin typeface="+mn-lt"/>
              <a:ea typeface="+mn-ea"/>
              <a:cs typeface="+mn-cs"/>
            </a:rPr>
            <a:t>1. Data collection at local city/municipality level: </a:t>
          </a:r>
          <a:r>
            <a:rPr lang="de-DE" sz="1200" b="0">
              <a:solidFill>
                <a:schemeClr val="dk1"/>
              </a:solidFill>
              <a:effectLst/>
              <a:latin typeface="+mn-lt"/>
              <a:ea typeface="+mn-ea"/>
              <a:cs typeface="+mn-cs"/>
            </a:rPr>
            <a:t>The data at local level are the most relevant as they enable a precise description of the local energy </a:t>
          </a:r>
          <a:r>
            <a:rPr lang="de-DE" sz="1200">
              <a:solidFill>
                <a:schemeClr val="dk1"/>
              </a:solidFill>
              <a:effectLst/>
              <a:latin typeface="+mn-lt"/>
              <a:ea typeface="+mn-ea"/>
              <a:cs typeface="+mn-cs"/>
            </a:rPr>
            <a:t>demand. These data can come from the energy bills, or previous energy projects conducted in the area.  </a:t>
          </a:r>
        </a:p>
        <a:p>
          <a:r>
            <a:rPr lang="de-DE" sz="1200" b="1">
              <a:solidFill>
                <a:schemeClr val="dk1"/>
              </a:solidFill>
              <a:effectLst/>
              <a:latin typeface="+mn-lt"/>
              <a:ea typeface="+mn-ea"/>
              <a:cs typeface="+mn-cs"/>
            </a:rPr>
            <a:t>2. Data collection at provincial/regional level: </a:t>
          </a:r>
          <a:r>
            <a:rPr lang="de-DE" sz="1200">
              <a:solidFill>
                <a:schemeClr val="dk1"/>
              </a:solidFill>
              <a:effectLst/>
              <a:latin typeface="+mn-lt"/>
              <a:ea typeface="+mn-ea"/>
              <a:cs typeface="+mn-cs"/>
            </a:rPr>
            <a:t>If the data are not available at local level, the second most relevant source is the regional level.  </a:t>
          </a:r>
        </a:p>
        <a:p>
          <a:r>
            <a:rPr lang="de-DE" sz="1200" b="1">
              <a:solidFill>
                <a:schemeClr val="dk1"/>
              </a:solidFill>
              <a:effectLst/>
              <a:latin typeface="+mn-lt"/>
              <a:ea typeface="+mn-ea"/>
              <a:cs typeface="+mn-cs"/>
            </a:rPr>
            <a:t>3. Data collection at national/country level: </a:t>
          </a:r>
          <a:r>
            <a:rPr lang="de-DE" sz="12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200" b="1" i="0" u="none" strike="noStrike">
            <a:solidFill>
              <a:schemeClr val="dk1"/>
            </a:solidFill>
            <a:effectLst/>
            <a:latin typeface="+mn-lt"/>
            <a:ea typeface="+mn-ea"/>
            <a:cs typeface="+mn-cs"/>
          </a:endParaRPr>
        </a:p>
        <a:p>
          <a:r>
            <a:rPr lang="de-DE" sz="12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179917</xdr:colOff>
      <xdr:row>17</xdr:row>
      <xdr:rowOff>0</xdr:rowOff>
    </xdr:from>
    <xdr:to>
      <xdr:col>4</xdr:col>
      <xdr:colOff>162334</xdr:colOff>
      <xdr:row>47</xdr:row>
      <xdr:rowOff>52916</xdr:rowOff>
    </xdr:to>
    <xdr:sp macro="" textlink="">
      <xdr:nvSpPr>
        <xdr:cNvPr id="5" name="Textfeld 4">
          <a:extLst>
            <a:ext uri="{FF2B5EF4-FFF2-40B4-BE49-F238E27FC236}">
              <a16:creationId xmlns:a16="http://schemas.microsoft.com/office/drawing/2014/main" id="{984F25F4-A01A-4B92-9D55-393717DDB882}"/>
            </a:ext>
          </a:extLst>
        </xdr:cNvPr>
        <xdr:cNvSpPr txBox="1"/>
      </xdr:nvSpPr>
      <xdr:spPr>
        <a:xfrm>
          <a:off x="179917" y="4794250"/>
          <a:ext cx="3168000" cy="6138333"/>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Data collection methodology:</a:t>
          </a:r>
          <a:endParaRPr lang="en-US" sz="1200">
            <a:solidFill>
              <a:schemeClr val="dk1"/>
            </a:solidFill>
            <a:effectLst/>
            <a:latin typeface="+mn-lt"/>
            <a:ea typeface="+mn-ea"/>
            <a:cs typeface="+mn-cs"/>
          </a:endParaRPr>
        </a:p>
        <a:p>
          <a:r>
            <a:rPr lang="de-DE" sz="1200" b="1">
              <a:solidFill>
                <a:srgbClr val="00B0F0"/>
              </a:solidFill>
              <a:effectLst/>
              <a:latin typeface="+mn-lt"/>
              <a:ea typeface="+mn-ea"/>
              <a:cs typeface="+mn-cs"/>
            </a:rPr>
            <a:t>Important note: Please add  the references used in preparing input (there is a reference table at the bottom) </a:t>
          </a:r>
        </a:p>
        <a:p>
          <a:endParaRPr lang="de-DE" sz="1400">
            <a:solidFill>
              <a:schemeClr val="dk1"/>
            </a:solidFill>
            <a:effectLst/>
            <a:latin typeface="+mn-lt"/>
            <a:ea typeface="+mn-ea"/>
            <a:cs typeface="+mn-cs"/>
          </a:endParaRPr>
        </a:p>
        <a:p>
          <a:r>
            <a:rPr lang="de-DE" sz="1200" b="1" u="sng">
              <a:solidFill>
                <a:schemeClr val="dk1"/>
              </a:solidFill>
              <a:effectLst/>
              <a:latin typeface="+mn-lt"/>
              <a:ea typeface="+mn-ea"/>
              <a:cs typeface="+mn-cs"/>
            </a:rPr>
            <a:t>Temporal scope</a:t>
          </a:r>
          <a:r>
            <a:rPr lang="de-DE" sz="1200" u="sng">
              <a:solidFill>
                <a:schemeClr val="dk1"/>
              </a:solidFill>
              <a:effectLst/>
              <a:latin typeface="+mn-lt"/>
              <a:ea typeface="+mn-ea"/>
              <a:cs typeface="+mn-cs"/>
            </a:rPr>
            <a:t>:  </a:t>
          </a:r>
          <a:r>
            <a:rPr lang="de-DE" sz="1200">
              <a:solidFill>
                <a:schemeClr val="dk1"/>
              </a:solidFill>
              <a:effectLst/>
              <a:latin typeface="+mn-lt"/>
              <a:ea typeface="+mn-ea"/>
              <a:cs typeface="+mn-cs"/>
            </a:rPr>
            <a:t>The baseline year used within the PLENTY-LIFE framework is </a:t>
          </a:r>
          <a:r>
            <a:rPr lang="de-DE" sz="1200" b="1">
              <a:solidFill>
                <a:schemeClr val="dk1"/>
              </a:solidFill>
              <a:effectLst/>
              <a:latin typeface="+mn-lt"/>
              <a:ea typeface="+mn-ea"/>
              <a:cs typeface="+mn-cs"/>
            </a:rPr>
            <a:t>2018-2019</a:t>
          </a:r>
          <a:r>
            <a:rPr lang="de-DE" sz="1200">
              <a:solidFill>
                <a:schemeClr val="dk1"/>
              </a:solidFill>
              <a:effectLst/>
              <a:latin typeface="+mn-lt"/>
              <a:ea typeface="+mn-ea"/>
              <a:cs typeface="+mn-cs"/>
            </a:rPr>
            <a:t>. </a:t>
          </a:r>
          <a:r>
            <a:rPr lang="de-DE" sz="1200" b="1" u="sng">
              <a:solidFill>
                <a:schemeClr val="dk1"/>
              </a:solidFill>
              <a:effectLst/>
              <a:latin typeface="+mn-lt"/>
              <a:ea typeface="+mn-ea"/>
              <a:cs typeface="+mn-cs"/>
            </a:rPr>
            <a:t>Geographical scope: </a:t>
          </a:r>
          <a:r>
            <a:rPr lang="de-DE" sz="1200">
              <a:solidFill>
                <a:schemeClr val="dk1"/>
              </a:solidFill>
              <a:effectLst/>
              <a:latin typeface="+mn-lt"/>
              <a:ea typeface="+mn-ea"/>
              <a:cs typeface="+mn-cs"/>
            </a:rPr>
            <a:t>The data collection can be performed based on a three-levels approach: data at local level, data at regional level and data at country level.  </a:t>
          </a:r>
        </a:p>
        <a:p>
          <a:r>
            <a:rPr lang="de-DE" sz="1200" b="1">
              <a:solidFill>
                <a:schemeClr val="dk1"/>
              </a:solidFill>
              <a:effectLst/>
              <a:latin typeface="+mn-lt"/>
              <a:ea typeface="+mn-ea"/>
              <a:cs typeface="+mn-cs"/>
            </a:rPr>
            <a:t>1. Data collection at local city/municipality level: </a:t>
          </a:r>
          <a:r>
            <a:rPr lang="de-DE" sz="1200" b="0">
              <a:solidFill>
                <a:schemeClr val="dk1"/>
              </a:solidFill>
              <a:effectLst/>
              <a:latin typeface="+mn-lt"/>
              <a:ea typeface="+mn-ea"/>
              <a:cs typeface="+mn-cs"/>
            </a:rPr>
            <a:t>The data at local level are the most relevant as they enable a precise description of the local energy </a:t>
          </a:r>
          <a:r>
            <a:rPr lang="de-DE" sz="1200">
              <a:solidFill>
                <a:schemeClr val="dk1"/>
              </a:solidFill>
              <a:effectLst/>
              <a:latin typeface="+mn-lt"/>
              <a:ea typeface="+mn-ea"/>
              <a:cs typeface="+mn-cs"/>
            </a:rPr>
            <a:t>demand. These data can come from the energy bills, or previous energy projects conducted in the area.  </a:t>
          </a:r>
        </a:p>
        <a:p>
          <a:r>
            <a:rPr lang="de-DE" sz="1200" b="1">
              <a:solidFill>
                <a:schemeClr val="dk1"/>
              </a:solidFill>
              <a:effectLst/>
              <a:latin typeface="+mn-lt"/>
              <a:ea typeface="+mn-ea"/>
              <a:cs typeface="+mn-cs"/>
            </a:rPr>
            <a:t>2. Data collection at provincial/regional level: </a:t>
          </a:r>
          <a:r>
            <a:rPr lang="de-DE" sz="1200">
              <a:solidFill>
                <a:schemeClr val="dk1"/>
              </a:solidFill>
              <a:effectLst/>
              <a:latin typeface="+mn-lt"/>
              <a:ea typeface="+mn-ea"/>
              <a:cs typeface="+mn-cs"/>
            </a:rPr>
            <a:t>If the data are not available at local level, the second most relevant source is the regional level.  </a:t>
          </a:r>
        </a:p>
        <a:p>
          <a:r>
            <a:rPr lang="de-DE" sz="1200" b="1">
              <a:solidFill>
                <a:schemeClr val="dk1"/>
              </a:solidFill>
              <a:effectLst/>
              <a:latin typeface="+mn-lt"/>
              <a:ea typeface="+mn-ea"/>
              <a:cs typeface="+mn-cs"/>
            </a:rPr>
            <a:t>3. Data collection at national/country level: </a:t>
          </a:r>
          <a:r>
            <a:rPr lang="de-DE" sz="1200">
              <a:solidFill>
                <a:schemeClr val="dk1"/>
              </a:solidFill>
              <a:effectLst/>
              <a:latin typeface="+mn-lt"/>
              <a:ea typeface="+mn-ea"/>
              <a:cs typeface="+mn-cs"/>
            </a:rPr>
            <a:t>If no data is available at local or regional level, country level data can be used. These data can be found for example on national statistiks platforms or reports.  If no quantitative data are available, please make qualititative comments that can support the definition of hypotheses.</a:t>
          </a:r>
        </a:p>
        <a:p>
          <a:endParaRPr lang="de-DE" sz="1200" b="1" i="0" u="none" strike="noStrike">
            <a:solidFill>
              <a:schemeClr val="dk1"/>
            </a:solidFill>
            <a:effectLst/>
            <a:latin typeface="+mn-lt"/>
            <a:ea typeface="+mn-ea"/>
            <a:cs typeface="+mn-cs"/>
          </a:endParaRPr>
        </a:p>
        <a:p>
          <a:r>
            <a:rPr lang="de-DE" sz="1200" i="1">
              <a:solidFill>
                <a:schemeClr val="dk1"/>
              </a:solidFill>
              <a:effectLst/>
              <a:latin typeface="+mn-lt"/>
              <a:ea typeface="+mn-ea"/>
              <a:cs typeface="+mn-cs"/>
            </a:rPr>
            <a:t>If no quantitative data are available, please make qualititative comments that can support the definition of hypotheses.</a:t>
          </a:r>
        </a:p>
        <a:p>
          <a:endParaRPr lang="en-US" sz="14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orteckyS/AppData/Local/Packages/Microsoft.MicrosoftEdge_8wekyb3d8bbwe/TempState/Downloads/durchschnittlicher_stromverbrauch_eines_haushalts_2008_2012_und_201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GP-17792/data/MAED/24082020_Traiskirchen-%20Liste%20f&#252;r%20Daten%20f&#252;r%20MAED-City_v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sApplNT\ESTAT-E5\TEMP\Common%20Reporting%20Format%20V1.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ApplNT\ESTAT-E5\Documents%20and%20Settings\meyered\Local%20Settings\Temporary%20Internet%20Files\OLK111\TMP\BAL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gesamt"/>
      <sheetName val="Anzahl Personen"/>
      <sheetName val="Heizungsart"/>
      <sheetName val="Wohnungsgröße"/>
      <sheetName val="Haus vs. Wohnbau"/>
      <sheetName val="IronSteel"/>
      <sheetName val="Anzahl_Personen1"/>
      <sheetName val="Haus_vs__Wohnbau1"/>
      <sheetName val="Anzahl_Personen"/>
      <sheetName val="Haus_vs__Wohnbau"/>
    </sheetNames>
    <sheetDataSet>
      <sheetData sheetId="0"/>
      <sheetData sheetId="1"/>
      <sheetData sheetId="2"/>
      <sheetData sheetId="3"/>
      <sheetData sheetId="4"/>
      <sheetData sheetId="5" refreshError="1"/>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io-Economy"/>
      <sheetName val="Industrieenergiebedarfberechnun"/>
      <sheetName val="Tech. Daten by Sector"/>
      <sheetName val="Mobilitätsberechnungen Traiskir"/>
      <sheetName val="Energy by Sector_Finetuning EVN"/>
      <sheetName val="Energy by Sector"/>
      <sheetName val="Energy by Sector- Variante HH"/>
      <sheetName val="Final results (User unit)"/>
      <sheetName val="Dienstlstg Fläche pro Beschäfti"/>
      <sheetName val="Industrie"/>
      <sheetName val="Stromverbrauch Haus vs. Wohnbau"/>
      <sheetName val="Stromverbrauch HH-Stat. Austria"/>
      <sheetName val="eigene Berechnung Wohngebäude"/>
      <sheetName val="öffentliche Gebäude"/>
      <sheetName val="Wohnhäuser"/>
      <sheetName val="Heizgradtage"/>
      <sheetName val="Converter"/>
      <sheetName val="Final-D"/>
      <sheetName val="Energy by Sector_simplified"/>
      <sheetName val="CO2 by Sector_Basisjahr_2018"/>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arbon Budget"/>
    </sheetNames>
    <sheetDataSet>
      <sheetData sheetId="0"/>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Hainoun Ali" id="{A17E7FBF-9FFF-492A-ABE6-0E07BC58D9A6}" userId="Ali.Hainoun@ait.ac.at" providerId="PeoplePicker"/>
  <person displayName="Horak Daniel" id="{3D89B3C7-7FD4-4A1D-96BB-F3ED715FC503}" userId="Daniel.Horak@ait.ac.at" providerId="PeoplePicker"/>
  <person displayName="Stortecky Sebastian" id="{53CB1E86-0E47-46B9-94A8-245B3CF679F6}" userId="Sebastian.Stortecky@ait.ac.at" providerId="PeoplePicker"/>
  <person displayName="Hainoun Ali" id="{13A6427B-21DA-4252-9544-2DCEC9E1AC9A}" userId="S::Ali.Hainoun@ait.ac.at::c88c8006-e695-4767-b303-b3f15db6304e" providerId="AD"/>
  <person displayName="Hainoun Ali" id="{C2D319E7-450B-4450-A2C9-8386E1152F2F}" userId="S::ali.hainoun@ait.ac.at::c88c8006-e695-4767-b303-b3f15db6304e" providerId="AD"/>
  <person displayName="Horak Daniel" id="{48DAC32E-4BEA-4C4F-89CC-0DD5D995B661}" userId="S::Daniel.Horak@ait.ac.at::bd19342d-aa50-4f13-92d9-9853b6cb6300" providerId="AD"/>
  <person displayName="Horak Daniel" id="{915CBD76-863C-495B-BE15-8E15631A28A1}" userId="S::daniel.horak@ait.ac.at::bd19342d-aa50-4f13-92d9-9853b6cb6300" providerId="AD"/>
  <person displayName="Kaufmann Antonia" id="{D06DEA81-8DBD-45CE-B834-9A188746E11A}" userId="S::Antonia.Kaufmann@ait.ac.at::bd2f55aa-8390-449f-bba0-057de78e8ded" providerId="AD"/>
  <person displayName="Stortecky Sebastian" id="{7D5D0147-5706-4577-97BF-141153093908}" userId="S::Sebastian.Stortecky@ait.ac.at::bdb270c6-d3c7-4e52-839f-de83d3a1eda2" providerId="AD"/>
  <person displayName="Stortecky Sebastian" id="{6A0D516B-9FAD-4A49-81B7-A607BFD68A1D}" userId="S::sebastian.stortecky@ait.ac.at::bdb270c6-d3c7-4e52-839f-de83d3a1eda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2" dT="2023-03-05T16:56:24.12" personId="{13A6427B-21DA-4252-9544-2DCEC9E1AC9A}" id="{D2FC040D-DD01-4083-8671-11BC612C3873}">
    <text>Non-energy use as raw material (e.g., in the petrochemical or steel industry, asphalt,..)</text>
  </threadedComment>
</ThreadedComments>
</file>

<file path=xl/threadedComments/threadedComment2.xml><?xml version="1.0" encoding="utf-8"?>
<ThreadedComments xmlns="http://schemas.microsoft.com/office/spreadsheetml/2018/threadedcomments" xmlns:x="http://schemas.openxmlformats.org/spreadsheetml/2006/main">
  <threadedComment ref="G8" dT="2023-07-06T15:18:05.06" personId="{D06DEA81-8DBD-45CE-B834-9A188746E11A}" id="{0CA7168B-142A-4D2C-B1D1-241CEC9218C0}">
    <text>Erwerbsquote der 15-64 Jährigen in %</text>
  </threadedComment>
  <threadedComment ref="G9" dT="2023-07-06T15:18:14.10" personId="{D06DEA81-8DBD-45CE-B834-9A188746E11A}" id="{DEDEFD75-0484-4363-BC6A-76BFD5A4E6F9}">
    <text>Erwerbstätigenquote der 15-64 Jährigen in %</text>
  </threadedComment>
  <threadedComment ref="G33" dT="2023-07-10T07:30:14.73" personId="{D06DEA81-8DBD-45CE-B834-9A188746E11A}" id="{101D745D-FBAA-4043-8593-69BAAC0D1560}">
    <text>Handel, Instandhaltung, 
Reparatur von KFZ</text>
  </threadedComment>
</ThreadedComments>
</file>

<file path=xl/threadedComments/threadedComment3.xml><?xml version="1.0" encoding="utf-8"?>
<ThreadedComments xmlns="http://schemas.microsoft.com/office/spreadsheetml/2018/threadedcomments" xmlns:x="http://schemas.openxmlformats.org/spreadsheetml/2006/main">
  <threadedComment ref="Q3" dT="2023-07-19T08:32:07.92" personId="{D06DEA81-8DBD-45CE-B834-9A188746E11A}" id="{F70ECBDE-69F6-49F1-9B6B-B220D68CAF2B}">
    <text>NUTS3-Region</text>
  </threadedComment>
  <threadedComment ref="Q4" dT="2023-07-19T08:32:13.12" personId="{D06DEA81-8DBD-45CE-B834-9A188746E11A}" id="{927A1C84-8AC2-44C1-B148-CCB5D6D73DF7}">
    <text>NUTS3-Region</text>
  </threadedComment>
  <threadedComment ref="Q8" dT="2023-07-19T08:32:26.08" personId="{D06DEA81-8DBD-45CE-B834-9A188746E11A}" id="{8801E9BB-A6ED-4FF7-B322-C02A06E78BE5}">
    <text>NUTS1-Region</text>
  </threadedComment>
</ThreadedComments>
</file>

<file path=xl/threadedComments/threadedComment4.xml><?xml version="1.0" encoding="utf-8"?>
<ThreadedComments xmlns="http://schemas.microsoft.com/office/spreadsheetml/2018/threadedcomments" xmlns:x="http://schemas.openxmlformats.org/spreadsheetml/2006/main">
  <threadedComment ref="C6" dT="2023-03-30T08:38:22.41" personId="{48DAC32E-4BEA-4C4F-89CC-0DD5D995B661}" id="{F0896DCE-2879-458B-8FAC-284DAEADBFCD}">
    <text>@Stortecky Sebastian @Hainoun Ali Why is this asked in kWh/day? kWh/a seems like a much more common information to have</text>
    <mentions>
      <mention mentionpersonId="{53CB1E86-0E47-46B9-94A8-245B3CF679F6}" mentionId="{1BAA4C7D-3825-4AE9-98D7-588676E9E4FD}" startIndex="0" length="20"/>
      <mention mentionpersonId="{A17E7FBF-9FFF-492A-ABE6-0E07BC58D9A6}" mentionId="{6989C669-D36F-4922-8DC9-6A1CFCE50C84}" startIndex="21" length="12"/>
    </mentions>
  </threadedComment>
  <threadedComment ref="C6" dT="2023-03-30T08:42:04.09" personId="{48DAC32E-4BEA-4C4F-89CC-0DD5D995B661}" id="{13503D21-31E3-4AF6-B3B5-AB7EAD4AD431}" parentId="{F0896DCE-2879-458B-8FAC-284DAEADBFCD}">
    <text>Also, this value can be easily retreived by us, also with better documentation. No need to ask them in my Opinion. It would be more valuable to have information on rooftop orientations. But this could should be modeled, using the BOKU tool. See also: 10.1016/j.compenvurbsys.2015.03.002</text>
  </threadedComment>
  <threadedComment ref="C6" dT="2023-03-30T09:52:25.66" personId="{7D5D0147-5706-4577-97BF-141153093908}" id="{775A9AFA-51D0-42BF-BD56-65EF3093421A}" parentId="{F0896DCE-2879-458B-8FAC-284DAEADBFCD}">
    <text>@Horak Daniel: Yes I fully agree, I also think, that maybe kWh/m²/year is the better unit- I will change that --&gt; Ali has provided a link with the solar potential (Global Horizontal Irradiance)- so the data field is optional. But I fully agree, that the rooftop orientation is a valueable information, but I think for a whole city, it is difficult for the city to provide this information. We should work with average values to calculate the solar yield.</text>
    <mentions>
      <mention mentionpersonId="{3D89B3C7-7FD4-4A1D-96BB-F3ED715FC503}" mentionId="{73AC14D4-FDA9-490B-9453-C8AD21037352}" startIndex="0" length="13"/>
    </mentions>
  </threadedComment>
  <threadedComment ref="C6" dT="2023-04-07T14:36:06.53" personId="{13A6427B-21DA-4252-9544-2DCEC9E1AC9A}" id="{0B07F874-7DF9-44B2-98F2-009350FA81B8}" parentId="{F0896DCE-2879-458B-8FAC-284DAEADBFCD}">
    <text>It is the same iformation. Daily values give an idea about the distribution of solar radiation of the considered site (see link). At the end all our calculations are annually agregated.</text>
  </threadedComment>
</ThreadedComments>
</file>

<file path=xl/threadedComments/threadedComment5.xml><?xml version="1.0" encoding="utf-8"?>
<ThreadedComments xmlns="http://schemas.microsoft.com/office/spreadsheetml/2018/threadedcomments" xmlns:x="http://schemas.openxmlformats.org/spreadsheetml/2006/main">
  <threadedComment ref="B7" dT="2023-03-30T08:48:47.35" personId="{48DAC32E-4BEA-4C4F-89CC-0DD5D995B661}" id="{CF08D9D1-C41E-424F-90B2-02EB5BF200DD}">
    <text>@Stortecky Sebastian @Hainoun Ali This should rather be done by asking waste amounts and information about waste separation etc., so we can estimate the heating value of the waste ourselves. I would not expect them to have this information, nor do I think they would be pleased having to calculate this by themselves</text>
    <mentions>
      <mention mentionpersonId="{53CB1E86-0E47-46B9-94A8-245B3CF679F6}" mentionId="{3EFC37C7-0E37-41BE-BC0C-AB52DC5F3CAF}" startIndex="0" length="20"/>
      <mention mentionpersonId="{A17E7FBF-9FFF-492A-ABE6-0E07BC58D9A6}" mentionId="{25AEA072-9057-4258-A78D-A5B6F6066E4E}" startIndex="21" length="12"/>
    </mentions>
  </threadedComment>
  <threadedComment ref="B7" dT="2023-03-30T09:22:28.42" personId="{6A0D516B-9FAD-4A49-81B7-A607BFD68A1D}" id="{05FFC362-D201-4A92-BA3B-5380DDDE65E6}" parentId="{CF08D9D1-C41E-424F-90B2-02EB5BF200DD}">
    <text>@Horak Daniel: If they have no waste incineration plant in the municipality/city, then the amount of energy by the municipal waste will be 0. But in case they have some studies or they have already have installed a waste incineration plant, they know the amount of energy, they produce. But you are right, that it is good maybe to provide an optional calculation table to support the cities/municipalities to estimate the energy potential of their waste, which is proposed to incinerated.</text>
    <mentions>
      <mention mentionpersonId="{3D89B3C7-7FD4-4A1D-96BB-F3ED715FC503}" mentionId="{688D478F-D659-4CD6-B55B-21606F230AA2}" startIndex="0" length="13"/>
    </mentions>
  </threadedComment>
  <threadedComment ref="B7" dT="2023-04-07T14:39:42.18" personId="{13A6427B-21DA-4252-9544-2DCEC9E1AC9A}" id="{6D5D14F6-0791-46FE-B9ED-2F1B7370279C}" parentId="{CF08D9D1-C41E-424F-90B2-02EB5BF200DD}">
    <text xml:space="preserve">Please be aware that the physical energy content of waste differes from a city to another. Hence, it is better to know the energy conten. Sebastian conclusion is spot on. </text>
  </threadedComment>
  <threadedComment ref="B7" dT="2023-04-11T06:36:04.44" personId="{915CBD76-863C-495B-BE15-8E15631A28A1}" id="{9D0A616C-4E83-43B9-A196-450FC1B74273}" parentId="{CF08D9D1-C41E-424F-90B2-02EB5BF200DD}">
    <text xml:space="preserve">of course the physical content differes between cities. I just really do not expect them to be aware of this energy content, but rather to know about amounts of waste. Hence my proposition. </text>
  </threadedComment>
  <threadedComment ref="B7" dT="2023-05-19T08:48:15.09" personId="{C2D319E7-450B-4450-A2C9-8386E1152F2F}" id="{B1F91BFD-3EFB-4099-AFAE-916CAF353310}" parentId="{CF08D9D1-C41E-424F-90B2-02EB5BF200DD}">
    <text xml:space="preserve">Ok. That is a good point. We ask them then to provide the estimated amount in case no information are available about energy content. </text>
  </threadedComment>
  <threadedComment ref="B7" dT="2023-05-22T07:02:38.10" personId="{915CBD76-863C-495B-BE15-8E15631A28A1}" id="{46268F6E-1956-4D95-A63E-F270D293337F}" parentId="{CF08D9D1-C41E-424F-90B2-02EB5BF200DD}">
    <text xml:space="preserve">Another point could be that waste might be exportet currently to other municipalities, where it might be burned. I would say, we should inquire generally about how waste is managed and proceed individually with this topic. </text>
  </threadedComment>
  <threadedComment ref="B7" dT="2023-05-22T07:37:56.36" personId="{C2D319E7-450B-4450-A2C9-8386E1152F2F}" id="{93E6E102-6543-461A-91F3-BF24D0EFAFC4}" parentId="{CF08D9D1-C41E-424F-90B2-02EB5BF200DD}">
    <text xml:space="preserve">yes, include that as note, so we get the right balance. important for us how much will be burned within the community boundary (and also what CO2 will be emitted).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hyperlink" Target="https://globalsolaratlas.info/map?c=11.609193,8.4375,3&amp;s=46.679594,3.515625&amp;m=site" TargetMode="External"/><Relationship Id="rId5" Type="http://schemas.microsoft.com/office/2017/10/relationships/threadedComment" Target="../threadedComments/threadedComment4.xml"/><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5.bin"/><Relationship Id="rId1" Type="http://schemas.openxmlformats.org/officeDocument/2006/relationships/hyperlink" Target="https://globalwindatlas.info/en" TargetMode="External"/><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 Id="rId4" Type="http://schemas.microsoft.com/office/2017/10/relationships/threadedComment" Target="../threadedComments/threadedComment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nomisweb.co.uk/reports/lmp/la/1946157348/report.aspx?" TargetMode="External"/><Relationship Id="rId1" Type="http://schemas.openxmlformats.org/officeDocument/2006/relationships/hyperlink" Target="https://www.ons.gov.uk/employmentandlabourmarket/peopleinwork/employmentandemployeetypes/timeseries/mgrz/lm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statistik.at/en/statistics/energy-and-environment/energy/useful-energy-analysi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D0130-2769-4BE9-83DC-A01D6DA5493F}">
  <sheetPr>
    <tabColor rgb="FFFFC000"/>
  </sheetPr>
  <dimension ref="A5:AC90"/>
  <sheetViews>
    <sheetView showGridLines="0" topLeftCell="A21" zoomScale="70" zoomScaleNormal="70" workbookViewId="0">
      <selection activeCell="O37" sqref="O37"/>
    </sheetView>
  </sheetViews>
  <sheetFormatPr defaultColWidth="8.85546875" defaultRowHeight="13.15"/>
  <cols>
    <col min="1" max="1" width="7.42578125" style="762" customWidth="1"/>
    <col min="2" max="2" width="9.5703125" style="762" customWidth="1"/>
    <col min="3" max="3" width="9.85546875" style="762" customWidth="1"/>
    <col min="4" max="4" width="12.42578125" style="762" bestFit="1" customWidth="1"/>
    <col min="5" max="5" width="10.42578125" style="762" customWidth="1"/>
    <col min="6" max="6" width="9.42578125" style="762" customWidth="1"/>
    <col min="7" max="7" width="10.42578125" style="762" bestFit="1" customWidth="1"/>
    <col min="8" max="8" width="8.85546875" style="762" customWidth="1"/>
    <col min="9" max="12" width="8.85546875" style="762"/>
    <col min="13" max="13" width="17.42578125" style="762" customWidth="1"/>
    <col min="14" max="16384" width="8.85546875" style="762"/>
  </cols>
  <sheetData>
    <row r="5" spans="17:29" ht="1.1499999999999999" customHeight="1"/>
    <row r="6" spans="17:29" ht="13.9" customHeight="1"/>
    <row r="7" spans="17:29" ht="33" customHeight="1"/>
    <row r="8" spans="17:29" ht="24" customHeight="1"/>
    <row r="9" spans="17:29" ht="23.45">
      <c r="Q9" s="603"/>
      <c r="R9" s="376"/>
      <c r="S9" s="376"/>
      <c r="T9" s="376"/>
      <c r="U9" s="376"/>
      <c r="V9" s="376"/>
      <c r="W9" s="376"/>
      <c r="X9" s="376"/>
      <c r="Y9" s="376"/>
      <c r="Z9" s="376"/>
      <c r="AA9" s="376"/>
      <c r="AB9" s="376"/>
      <c r="AC9" s="376"/>
    </row>
    <row r="11" spans="17:29" ht="23.45" customHeight="1"/>
    <row r="18" spans="2:16" ht="27" customHeight="1">
      <c r="B18" s="763"/>
    </row>
    <row r="19" spans="2:16">
      <c r="B19" s="764"/>
      <c r="C19" s="764"/>
      <c r="D19" s="764"/>
      <c r="E19" s="764"/>
      <c r="F19" s="764"/>
      <c r="G19" s="764"/>
      <c r="H19" s="764"/>
      <c r="I19" s="764"/>
      <c r="J19" s="764"/>
      <c r="K19" s="764"/>
      <c r="L19" s="764"/>
      <c r="M19" s="764"/>
      <c r="N19" s="764"/>
    </row>
    <row r="20" spans="2:16">
      <c r="B20" s="764"/>
      <c r="C20" s="764"/>
      <c r="D20" s="764"/>
      <c r="E20" s="764"/>
      <c r="F20" s="764"/>
      <c r="G20" s="764"/>
      <c r="H20" s="764"/>
      <c r="I20" s="764"/>
      <c r="J20" s="764"/>
      <c r="K20" s="764"/>
      <c r="L20" s="764"/>
      <c r="M20" s="764"/>
      <c r="N20" s="764"/>
    </row>
    <row r="21" spans="2:16" ht="30">
      <c r="B21" s="764"/>
      <c r="C21" s="896" t="s">
        <v>0</v>
      </c>
      <c r="D21" s="896"/>
      <c r="E21" s="896"/>
      <c r="F21" s="896"/>
      <c r="G21" s="896"/>
      <c r="H21" s="896"/>
      <c r="I21" s="896"/>
      <c r="J21" s="896"/>
      <c r="K21" s="896"/>
      <c r="L21" s="896"/>
      <c r="M21" s="896"/>
      <c r="N21" s="764"/>
    </row>
    <row r="22" spans="2:16" ht="30">
      <c r="B22" s="764"/>
      <c r="C22" s="896" t="s">
        <v>1</v>
      </c>
      <c r="D22" s="896"/>
      <c r="E22" s="896"/>
      <c r="F22" s="896"/>
      <c r="G22" s="896"/>
      <c r="H22" s="896"/>
      <c r="I22" s="896"/>
      <c r="J22" s="896"/>
      <c r="K22" s="896"/>
      <c r="L22" s="896"/>
      <c r="M22" s="896"/>
      <c r="N22" s="764"/>
    </row>
    <row r="23" spans="2:16" ht="30">
      <c r="B23" s="764"/>
      <c r="C23" s="896" t="s">
        <v>2</v>
      </c>
      <c r="D23" s="896"/>
      <c r="E23" s="896"/>
      <c r="F23" s="896"/>
      <c r="G23" s="896"/>
      <c r="H23" s="896"/>
      <c r="I23" s="896"/>
      <c r="J23" s="896"/>
      <c r="K23" s="896"/>
      <c r="L23" s="896"/>
      <c r="M23" s="896"/>
      <c r="N23" s="764"/>
    </row>
    <row r="24" spans="2:16">
      <c r="B24" s="764"/>
      <c r="C24" s="765"/>
      <c r="D24" s="765"/>
      <c r="E24" s="765"/>
      <c r="F24" s="765"/>
      <c r="G24" s="765"/>
      <c r="H24" s="765"/>
      <c r="I24" s="765"/>
      <c r="J24" s="765"/>
      <c r="K24" s="765"/>
      <c r="L24" s="765"/>
      <c r="M24" s="765"/>
      <c r="N24" s="764"/>
    </row>
    <row r="25" spans="2:16" ht="17.45">
      <c r="B25" s="764"/>
      <c r="C25" s="897" t="s">
        <v>3</v>
      </c>
      <c r="D25" s="897"/>
      <c r="E25" s="897"/>
      <c r="F25" s="897"/>
      <c r="G25" s="897"/>
      <c r="H25" s="897"/>
      <c r="I25" s="897"/>
      <c r="J25" s="897"/>
      <c r="K25" s="897"/>
      <c r="L25" s="897"/>
      <c r="M25" s="897"/>
      <c r="N25" s="764"/>
    </row>
    <row r="26" spans="2:16" ht="17.45">
      <c r="B26" s="764"/>
      <c r="C26" s="898" t="s">
        <v>4</v>
      </c>
      <c r="D26" s="898"/>
      <c r="E26" s="898"/>
      <c r="F26" s="898"/>
      <c r="G26" s="898"/>
      <c r="H26" s="898"/>
      <c r="I26" s="898"/>
      <c r="J26" s="898"/>
      <c r="K26" s="898"/>
      <c r="L26" s="898"/>
      <c r="M26" s="898"/>
      <c r="N26" s="764"/>
    </row>
    <row r="27" spans="2:16" ht="17.45">
      <c r="B27" s="764"/>
      <c r="C27" s="898" t="s">
        <v>5</v>
      </c>
      <c r="D27" s="898"/>
      <c r="E27" s="898"/>
      <c r="F27" s="898"/>
      <c r="G27" s="898"/>
      <c r="H27" s="898"/>
      <c r="I27" s="898"/>
      <c r="J27" s="898"/>
      <c r="K27" s="898"/>
      <c r="L27" s="898"/>
      <c r="M27" s="898"/>
      <c r="N27" s="764"/>
    </row>
    <row r="28" spans="2:16" ht="17.45">
      <c r="B28" s="764"/>
      <c r="C28" s="766" t="s">
        <v>6</v>
      </c>
      <c r="D28" s="766"/>
      <c r="E28" s="766"/>
      <c r="F28" s="766"/>
      <c r="G28" s="766"/>
      <c r="H28" s="766"/>
      <c r="I28" s="766"/>
      <c r="J28" s="766"/>
      <c r="K28" s="766"/>
      <c r="L28" s="766"/>
      <c r="M28" s="766"/>
      <c r="N28" s="764"/>
    </row>
    <row r="29" spans="2:16">
      <c r="B29" s="764"/>
      <c r="C29" s="765"/>
      <c r="D29" s="765"/>
      <c r="E29" s="765"/>
      <c r="F29" s="765"/>
      <c r="G29" s="765"/>
      <c r="H29" s="765"/>
      <c r="I29" s="765"/>
      <c r="J29" s="765"/>
      <c r="K29" s="765"/>
      <c r="L29" s="765"/>
      <c r="M29" s="765"/>
      <c r="N29" s="764"/>
      <c r="P29" s="767"/>
    </row>
    <row r="30" spans="2:16" ht="21">
      <c r="B30" s="764"/>
      <c r="C30" s="894" t="s">
        <v>7</v>
      </c>
      <c r="D30" s="894"/>
      <c r="E30" s="894"/>
      <c r="F30" s="894"/>
      <c r="G30" s="894"/>
      <c r="H30" s="894"/>
      <c r="I30" s="894"/>
      <c r="J30" s="894"/>
      <c r="K30" s="894"/>
      <c r="L30" s="894"/>
      <c r="M30" s="894"/>
      <c r="N30" s="764"/>
      <c r="P30" s="767"/>
    </row>
    <row r="31" spans="2:16" ht="21" customHeight="1">
      <c r="B31" s="764"/>
      <c r="C31" s="894" t="s">
        <v>8</v>
      </c>
      <c r="D31" s="894"/>
      <c r="E31" s="894"/>
      <c r="F31" s="894"/>
      <c r="G31" s="894"/>
      <c r="H31" s="894"/>
      <c r="I31" s="894"/>
      <c r="J31" s="894"/>
      <c r="K31" s="894"/>
      <c r="L31" s="894"/>
      <c r="M31" s="894"/>
      <c r="N31" s="764"/>
      <c r="P31" s="767"/>
    </row>
    <row r="32" spans="2:16" ht="21" customHeight="1">
      <c r="B32" s="764"/>
      <c r="C32" s="895" t="s">
        <v>9</v>
      </c>
      <c r="D32" s="895"/>
      <c r="E32" s="895"/>
      <c r="F32" s="895"/>
      <c r="G32" s="895"/>
      <c r="H32" s="895"/>
      <c r="I32" s="895"/>
      <c r="J32" s="895"/>
      <c r="K32" s="895"/>
      <c r="L32" s="895"/>
      <c r="M32" s="895"/>
      <c r="N32" s="764"/>
      <c r="P32" s="767"/>
    </row>
    <row r="33" spans="1:16" ht="17.45">
      <c r="B33" s="764"/>
      <c r="C33" s="895" t="s">
        <v>10</v>
      </c>
      <c r="D33" s="895"/>
      <c r="E33" s="895"/>
      <c r="F33" s="895"/>
      <c r="G33" s="895"/>
      <c r="H33" s="895"/>
      <c r="I33" s="895"/>
      <c r="J33" s="895"/>
      <c r="K33" s="895"/>
      <c r="L33" s="895"/>
      <c r="M33" s="895"/>
      <c r="N33" s="764"/>
      <c r="P33" s="767"/>
    </row>
    <row r="34" spans="1:16" s="767" customFormat="1" ht="13.35" customHeight="1">
      <c r="B34" s="764"/>
      <c r="C34" s="765"/>
      <c r="D34" s="765"/>
      <c r="E34" s="765"/>
      <c r="F34" s="765"/>
      <c r="G34" s="765"/>
      <c r="H34" s="768"/>
      <c r="I34" s="765"/>
      <c r="J34" s="765"/>
      <c r="K34" s="765"/>
      <c r="L34" s="765"/>
      <c r="M34" s="765"/>
      <c r="N34" s="764"/>
    </row>
    <row r="35" spans="1:16" s="767" customFormat="1" ht="13.35" customHeight="1">
      <c r="B35" s="769"/>
      <c r="C35" s="770" t="s">
        <v>11</v>
      </c>
      <c r="D35" s="770"/>
      <c r="E35" s="769"/>
      <c r="F35" s="769"/>
      <c r="G35" s="769"/>
      <c r="H35" s="769"/>
      <c r="I35" s="769"/>
      <c r="J35" s="769"/>
      <c r="K35" s="769"/>
      <c r="L35" s="769"/>
      <c r="M35" s="769"/>
      <c r="N35" s="769"/>
    </row>
    <row r="36" spans="1:16" s="767" customFormat="1" ht="28.15" customHeight="1">
      <c r="A36" s="762"/>
      <c r="B36" s="769"/>
      <c r="C36" s="770" t="s">
        <v>12</v>
      </c>
      <c r="D36" s="770"/>
      <c r="E36" s="769"/>
      <c r="F36" s="769"/>
      <c r="G36" s="769"/>
      <c r="H36" s="769"/>
      <c r="I36" s="769"/>
      <c r="J36" s="769"/>
      <c r="K36" s="769"/>
      <c r="L36" s="769"/>
      <c r="M36" s="769"/>
      <c r="N36" s="769"/>
      <c r="O36" s="762"/>
    </row>
    <row r="37" spans="1:16" s="767" customFormat="1" ht="13.35" customHeight="1">
      <c r="A37" s="762"/>
      <c r="B37" s="769"/>
      <c r="C37" s="770" t="s">
        <v>13</v>
      </c>
      <c r="D37" s="771">
        <f ca="1">TODAY()</f>
        <v>46056</v>
      </c>
      <c r="E37" s="769"/>
      <c r="F37" s="769"/>
      <c r="G37" s="769"/>
      <c r="H37" s="769"/>
      <c r="I37" s="769"/>
      <c r="J37" s="769"/>
      <c r="K37" s="769"/>
      <c r="L37" s="769"/>
      <c r="M37" s="769"/>
      <c r="N37" s="769"/>
      <c r="O37" s="762"/>
    </row>
    <row r="38" spans="1:16">
      <c r="B38" s="769"/>
      <c r="C38" s="769"/>
      <c r="D38" s="769"/>
      <c r="E38" s="769"/>
      <c r="F38" s="769"/>
      <c r="G38" s="769"/>
      <c r="H38" s="769"/>
      <c r="I38" s="769"/>
      <c r="J38" s="769"/>
      <c r="K38" s="769"/>
      <c r="L38" s="769"/>
      <c r="M38" s="769"/>
      <c r="N38" s="769"/>
      <c r="P38" s="767"/>
    </row>
    <row r="44" spans="1:16" customFormat="1" ht="14.45">
      <c r="A44" s="762"/>
      <c r="B44" s="762"/>
      <c r="C44" s="762"/>
      <c r="D44" s="762"/>
      <c r="E44" s="762"/>
      <c r="F44" s="762"/>
      <c r="G44" s="762"/>
      <c r="H44" s="762"/>
      <c r="I44" s="762"/>
      <c r="J44" s="762"/>
      <c r="K44" s="762"/>
      <c r="L44" s="762"/>
      <c r="M44" s="762"/>
      <c r="N44" s="762"/>
      <c r="O44" s="762"/>
    </row>
    <row r="45" spans="1:16" customFormat="1" ht="14.45">
      <c r="A45" s="762"/>
      <c r="B45" s="762"/>
      <c r="C45" s="762"/>
      <c r="D45" s="762"/>
      <c r="E45" s="762"/>
      <c r="F45" s="762"/>
      <c r="G45" s="762"/>
      <c r="H45" s="762"/>
      <c r="I45" s="762"/>
      <c r="J45" s="762"/>
      <c r="K45" s="762"/>
      <c r="L45" s="762"/>
      <c r="M45" s="762"/>
      <c r="N45" s="762"/>
      <c r="O45" s="762"/>
    </row>
    <row r="46" spans="1:16" customFormat="1" ht="14.45">
      <c r="A46" s="762"/>
      <c r="B46" s="762"/>
      <c r="C46" s="762"/>
      <c r="D46" s="762"/>
      <c r="E46" s="762"/>
      <c r="F46" s="762"/>
      <c r="G46" s="762"/>
      <c r="H46" s="762"/>
      <c r="I46" s="762"/>
      <c r="J46" s="762"/>
      <c r="K46" s="762"/>
      <c r="L46" s="762"/>
      <c r="M46" s="762"/>
      <c r="N46" s="762"/>
      <c r="O46" s="762"/>
    </row>
    <row r="47" spans="1:16" customFormat="1" ht="14.45">
      <c r="A47" s="762"/>
      <c r="B47" s="762"/>
      <c r="C47" s="762"/>
      <c r="D47" s="762"/>
      <c r="E47" s="762"/>
      <c r="F47" s="762"/>
      <c r="G47" s="762"/>
      <c r="H47" s="762"/>
      <c r="I47" s="762"/>
      <c r="J47" s="762"/>
      <c r="K47" s="762"/>
      <c r="L47" s="762"/>
      <c r="M47" s="762"/>
      <c r="N47" s="762"/>
      <c r="O47" s="762"/>
    </row>
    <row r="48" spans="1:16" ht="21" customHeight="1">
      <c r="O48" s="767"/>
    </row>
    <row r="49" spans="1:15">
      <c r="O49" s="767"/>
    </row>
    <row r="50" spans="1:15">
      <c r="O50" s="767"/>
    </row>
    <row r="51" spans="1:15">
      <c r="O51" s="767"/>
    </row>
    <row r="52" spans="1:15">
      <c r="O52" s="767"/>
    </row>
    <row r="53" spans="1:15">
      <c r="A53" s="767"/>
      <c r="O53" s="767"/>
    </row>
    <row r="54" spans="1:15">
      <c r="A54" s="767"/>
      <c r="O54" s="767"/>
    </row>
    <row r="55" spans="1:15" ht="15" customHeight="1">
      <c r="A55" s="767"/>
      <c r="O55" s="767"/>
    </row>
    <row r="56" spans="1:15" ht="15" customHeight="1">
      <c r="A56" s="767"/>
      <c r="O56" s="767"/>
    </row>
    <row r="57" spans="1:15" ht="18">
      <c r="C57" s="1"/>
      <c r="O57" s="767"/>
    </row>
    <row r="65" spans="1:16">
      <c r="A65" s="772"/>
      <c r="E65" s="772"/>
      <c r="F65" s="773"/>
      <c r="G65" s="773"/>
      <c r="H65" s="772"/>
      <c r="I65" s="772"/>
      <c r="J65" s="772"/>
      <c r="K65" s="772"/>
      <c r="L65" s="772"/>
      <c r="M65" s="772"/>
      <c r="N65" s="772"/>
      <c r="O65" s="772"/>
      <c r="P65" s="772"/>
    </row>
    <row r="66" spans="1:16">
      <c r="A66" s="772" t="s">
        <v>14</v>
      </c>
      <c r="E66" s="772"/>
      <c r="F66" s="772"/>
      <c r="G66" s="772"/>
      <c r="H66" s="772"/>
      <c r="I66" s="772"/>
      <c r="J66" s="772"/>
      <c r="K66" s="772"/>
      <c r="L66" s="772"/>
      <c r="M66" s="772"/>
      <c r="N66" s="772"/>
      <c r="O66" s="772"/>
      <c r="P66" s="772"/>
    </row>
    <row r="67" spans="1:16" ht="15.6">
      <c r="A67" s="772"/>
      <c r="E67" s="774"/>
      <c r="F67" s="775"/>
      <c r="G67" s="775"/>
      <c r="H67" s="776"/>
      <c r="I67" s="776"/>
      <c r="J67" s="777"/>
      <c r="K67" s="777"/>
      <c r="L67" s="777"/>
      <c r="M67" s="777"/>
      <c r="N67" s="777"/>
      <c r="O67" s="772"/>
      <c r="P67" s="772"/>
    </row>
    <row r="68" spans="1:16">
      <c r="A68" s="772"/>
      <c r="E68" s="774"/>
      <c r="F68" s="775"/>
      <c r="G68" s="775"/>
      <c r="H68" s="772"/>
      <c r="I68" s="772"/>
      <c r="J68" s="772"/>
      <c r="K68" s="772"/>
      <c r="L68" s="772"/>
      <c r="M68" s="772"/>
      <c r="N68" s="772"/>
      <c r="O68" s="772"/>
      <c r="P68" s="772"/>
    </row>
    <row r="69" spans="1:16">
      <c r="A69" s="772"/>
      <c r="E69" s="774"/>
      <c r="F69" s="775"/>
      <c r="G69" s="775"/>
      <c r="H69" s="772"/>
      <c r="I69" s="772"/>
      <c r="J69" s="772"/>
      <c r="K69" s="772"/>
      <c r="L69" s="772"/>
      <c r="M69" s="772"/>
      <c r="N69" s="772"/>
      <c r="O69" s="772"/>
      <c r="P69" s="772"/>
    </row>
    <row r="70" spans="1:16">
      <c r="A70" s="772"/>
      <c r="E70" s="774"/>
      <c r="F70" s="775"/>
      <c r="G70" s="775"/>
      <c r="H70" s="772"/>
      <c r="I70" s="772"/>
      <c r="J70" s="772"/>
      <c r="K70" s="772"/>
      <c r="L70" s="772"/>
      <c r="M70" s="772"/>
      <c r="N70" s="772"/>
      <c r="O70" s="772"/>
      <c r="P70" s="772"/>
    </row>
    <row r="71" spans="1:16">
      <c r="A71" s="772"/>
      <c r="E71" s="774"/>
      <c r="F71" s="775"/>
      <c r="G71" s="775"/>
      <c r="H71" s="772"/>
      <c r="I71" s="772"/>
      <c r="J71" s="772"/>
      <c r="K71" s="772"/>
      <c r="L71" s="772"/>
      <c r="M71" s="772"/>
      <c r="N71" s="772"/>
      <c r="O71" s="772"/>
      <c r="P71" s="772"/>
    </row>
    <row r="72" spans="1:16">
      <c r="A72" s="772"/>
      <c r="E72" s="774"/>
      <c r="F72" s="775"/>
      <c r="G72" s="775"/>
      <c r="H72" s="772"/>
      <c r="I72" s="772"/>
      <c r="J72" s="772"/>
      <c r="K72" s="772"/>
      <c r="L72" s="772"/>
      <c r="M72" s="772"/>
      <c r="N72" s="772"/>
      <c r="O72" s="772"/>
      <c r="P72" s="772"/>
    </row>
    <row r="73" spans="1:16">
      <c r="A73" s="772"/>
      <c r="B73" s="772" t="s">
        <v>15</v>
      </c>
      <c r="C73" s="778">
        <v>678.57500000000005</v>
      </c>
      <c r="D73" s="778"/>
      <c r="E73" s="774"/>
      <c r="F73" s="775"/>
      <c r="G73" s="775"/>
      <c r="H73" s="772"/>
      <c r="I73" s="772"/>
      <c r="J73" s="772"/>
      <c r="K73" s="772"/>
      <c r="L73" s="772"/>
      <c r="M73" s="772"/>
      <c r="N73" s="772"/>
      <c r="O73" s="772"/>
      <c r="P73" s="772"/>
    </row>
    <row r="74" spans="1:16">
      <c r="A74" s="772"/>
      <c r="B74" s="772"/>
      <c r="C74" s="772"/>
      <c r="D74" s="772"/>
      <c r="E74" s="772"/>
      <c r="F74" s="772"/>
      <c r="G74" s="772"/>
      <c r="H74" s="772"/>
      <c r="I74" s="772"/>
      <c r="J74" s="772"/>
      <c r="K74" s="772"/>
      <c r="L74" s="772"/>
      <c r="M74" s="772"/>
      <c r="N74" s="772"/>
      <c r="O74" s="772"/>
      <c r="P74" s="772"/>
    </row>
    <row r="75" spans="1:16" ht="14.45">
      <c r="A75" s="772" t="s">
        <v>16</v>
      </c>
      <c r="B75" s="772" t="s">
        <v>17</v>
      </c>
      <c r="C75" s="772"/>
      <c r="D75" s="779"/>
      <c r="E75" s="772"/>
      <c r="F75" s="772"/>
      <c r="G75" s="772"/>
      <c r="H75" s="772"/>
      <c r="I75" s="772"/>
      <c r="J75" s="772"/>
      <c r="K75" s="772"/>
      <c r="L75" s="772"/>
      <c r="M75" s="772"/>
      <c r="N75" s="772"/>
      <c r="O75" s="772"/>
      <c r="P75" s="772"/>
    </row>
    <row r="76" spans="1:16">
      <c r="A76" s="772"/>
      <c r="B76" s="772"/>
      <c r="C76" s="772"/>
      <c r="D76" s="772"/>
      <c r="E76" s="772"/>
      <c r="F76" s="772"/>
      <c r="G76" s="772"/>
      <c r="H76" s="772"/>
      <c r="I76" s="772"/>
      <c r="J76" s="772"/>
      <c r="K76" s="772"/>
      <c r="L76" s="772"/>
      <c r="M76" s="772"/>
      <c r="N76" s="772"/>
      <c r="O76" s="772"/>
      <c r="P76" s="772"/>
    </row>
    <row r="77" spans="1:16">
      <c r="A77" s="772"/>
      <c r="B77" s="772"/>
      <c r="C77" s="772"/>
      <c r="D77" s="772"/>
      <c r="E77" s="772"/>
      <c r="F77" s="772"/>
      <c r="G77" s="772"/>
      <c r="H77" s="772"/>
      <c r="I77" s="772"/>
      <c r="J77" s="772"/>
      <c r="K77" s="772"/>
      <c r="L77" s="772"/>
      <c r="M77" s="772"/>
      <c r="N77" s="772"/>
      <c r="O77" s="772"/>
      <c r="P77" s="772"/>
    </row>
    <row r="78" spans="1:16">
      <c r="A78" s="772"/>
      <c r="B78" s="772"/>
      <c r="C78" s="772"/>
      <c r="D78" s="772"/>
      <c r="E78" s="772"/>
      <c r="F78" s="772"/>
      <c r="G78" s="772"/>
      <c r="H78" s="772"/>
      <c r="I78" s="772"/>
      <c r="J78" s="772"/>
      <c r="K78" s="772"/>
      <c r="L78" s="772"/>
      <c r="M78" s="772"/>
      <c r="N78" s="772"/>
      <c r="O78" s="772"/>
      <c r="P78" s="772"/>
    </row>
    <row r="79" spans="1:16">
      <c r="A79" s="772"/>
      <c r="B79" s="772"/>
      <c r="C79" s="772"/>
      <c r="D79" s="772"/>
      <c r="E79" s="772"/>
      <c r="F79" s="772"/>
      <c r="G79" s="772"/>
      <c r="H79" s="772"/>
      <c r="I79" s="772"/>
      <c r="J79" s="772"/>
      <c r="K79" s="772"/>
      <c r="L79" s="772"/>
      <c r="M79" s="772"/>
      <c r="N79" s="772"/>
      <c r="O79" s="772"/>
      <c r="P79" s="772"/>
    </row>
    <row r="80" spans="1:16">
      <c r="A80" s="772"/>
      <c r="B80" s="772"/>
      <c r="C80" s="772"/>
      <c r="D80" s="772"/>
      <c r="E80" s="772"/>
      <c r="F80" s="772"/>
      <c r="G80" s="772"/>
      <c r="H80" s="772"/>
      <c r="I80" s="772"/>
      <c r="J80" s="772"/>
      <c r="K80" s="772"/>
      <c r="L80" s="772"/>
      <c r="M80" s="772"/>
      <c r="N80" s="772"/>
      <c r="O80" s="772"/>
      <c r="P80" s="772"/>
    </row>
    <row r="81" spans="1:16">
      <c r="A81" s="772"/>
      <c r="B81" s="772"/>
      <c r="C81" s="772"/>
      <c r="D81" s="772"/>
      <c r="E81" s="772"/>
      <c r="F81" s="772"/>
      <c r="G81" s="772"/>
      <c r="H81" s="772"/>
      <c r="I81" s="772"/>
      <c r="J81" s="772"/>
      <c r="K81" s="772"/>
      <c r="L81" s="772"/>
      <c r="M81" s="772"/>
      <c r="N81" s="772"/>
      <c r="O81" s="772"/>
      <c r="P81" s="772"/>
    </row>
    <row r="82" spans="1:16">
      <c r="A82" s="772"/>
      <c r="B82" s="772"/>
      <c r="C82" s="772"/>
      <c r="D82" s="772"/>
      <c r="E82" s="772"/>
      <c r="F82" s="772"/>
      <c r="G82" s="772"/>
      <c r="H82" s="772"/>
      <c r="I82" s="772"/>
      <c r="J82" s="772"/>
      <c r="K82" s="772"/>
      <c r="L82" s="772"/>
      <c r="M82" s="772"/>
      <c r="N82" s="772"/>
      <c r="O82" s="772"/>
      <c r="P82" s="772"/>
    </row>
    <row r="83" spans="1:16">
      <c r="A83" s="772"/>
      <c r="B83" s="772"/>
      <c r="C83" s="772"/>
      <c r="D83" s="772"/>
      <c r="E83" s="772"/>
      <c r="F83" s="772"/>
      <c r="G83" s="772"/>
      <c r="H83" s="772"/>
      <c r="I83" s="772"/>
      <c r="J83" s="772"/>
      <c r="K83" s="772"/>
      <c r="L83" s="772"/>
      <c r="M83" s="772"/>
      <c r="N83" s="772"/>
      <c r="O83" s="772"/>
      <c r="P83" s="772"/>
    </row>
    <row r="84" spans="1:16">
      <c r="A84" s="772"/>
      <c r="B84" s="772"/>
      <c r="C84" s="772"/>
      <c r="D84" s="772"/>
      <c r="E84" s="772"/>
      <c r="F84" s="772"/>
      <c r="G84" s="772"/>
      <c r="H84" s="772"/>
      <c r="I84" s="772"/>
      <c r="J84" s="772"/>
      <c r="K84" s="772"/>
      <c r="L84" s="772"/>
      <c r="M84" s="772"/>
      <c r="N84" s="772"/>
      <c r="O84" s="772"/>
      <c r="P84" s="772"/>
    </row>
    <row r="85" spans="1:16">
      <c r="A85" s="772"/>
      <c r="B85" s="772"/>
      <c r="C85" s="772"/>
      <c r="D85" s="772"/>
      <c r="E85" s="772"/>
      <c r="F85" s="772"/>
      <c r="G85" s="772"/>
      <c r="H85" s="772" t="s">
        <v>18</v>
      </c>
      <c r="I85" s="772"/>
      <c r="J85" s="772"/>
      <c r="K85" s="772"/>
      <c r="L85" s="772"/>
      <c r="M85" s="772"/>
      <c r="N85" s="772"/>
      <c r="O85" s="772"/>
      <c r="P85" s="772"/>
    </row>
    <row r="86" spans="1:16">
      <c r="A86" s="772"/>
      <c r="B86" s="772"/>
      <c r="C86" s="772"/>
      <c r="D86" s="772"/>
      <c r="E86" s="772"/>
      <c r="F86" s="772"/>
      <c r="G86" s="772"/>
      <c r="H86" s="772"/>
      <c r="I86" s="772"/>
      <c r="J86" s="772"/>
      <c r="K86" s="772"/>
      <c r="L86" s="772"/>
      <c r="M86" s="772"/>
      <c r="N86" s="772"/>
      <c r="O86" s="772"/>
      <c r="P86" s="772"/>
    </row>
    <row r="87" spans="1:16">
      <c r="A87" s="772"/>
      <c r="B87" s="772"/>
      <c r="C87" s="772"/>
      <c r="D87" s="772"/>
      <c r="E87" s="772"/>
      <c r="F87" s="772"/>
      <c r="G87" s="772"/>
      <c r="H87" s="772"/>
      <c r="I87" s="772"/>
      <c r="J87" s="772"/>
      <c r="K87" s="772"/>
      <c r="L87" s="772"/>
      <c r="M87" s="772"/>
      <c r="N87" s="772"/>
      <c r="O87" s="772"/>
      <c r="P87" s="772"/>
    </row>
    <row r="88" spans="1:16">
      <c r="A88" s="772"/>
      <c r="B88" s="772"/>
      <c r="C88" s="772"/>
      <c r="D88" s="772"/>
      <c r="E88" s="772"/>
      <c r="F88" s="772"/>
      <c r="G88" s="772"/>
      <c r="H88" s="772"/>
      <c r="I88" s="772"/>
      <c r="J88" s="772"/>
      <c r="K88" s="772"/>
      <c r="L88" s="772"/>
      <c r="M88" s="772"/>
      <c r="N88" s="772"/>
      <c r="O88" s="772"/>
      <c r="P88" s="772"/>
    </row>
    <row r="89" spans="1:16">
      <c r="A89" s="772"/>
      <c r="B89" s="772"/>
      <c r="C89" s="772"/>
      <c r="D89" s="772"/>
      <c r="E89" s="772"/>
      <c r="F89" s="772"/>
      <c r="G89" s="772"/>
      <c r="H89" s="772"/>
      <c r="I89" s="772"/>
      <c r="J89" s="772"/>
      <c r="K89" s="772"/>
      <c r="L89" s="772"/>
      <c r="M89" s="772"/>
      <c r="N89" s="772"/>
      <c r="O89" s="772"/>
      <c r="P89" s="772"/>
    </row>
    <row r="90" spans="1:16">
      <c r="A90" s="772"/>
      <c r="B90" s="772"/>
      <c r="C90" s="772"/>
      <c r="D90" s="772"/>
      <c r="E90" s="772"/>
      <c r="F90" s="772"/>
      <c r="G90" s="772"/>
      <c r="H90" s="772"/>
      <c r="I90" s="772"/>
      <c r="J90" s="772"/>
      <c r="K90" s="772"/>
      <c r="L90" s="772"/>
      <c r="M90" s="772"/>
      <c r="N90" s="772"/>
      <c r="O90" s="772"/>
      <c r="P90" s="772"/>
    </row>
  </sheetData>
  <mergeCells count="10">
    <mergeCell ref="C30:M30"/>
    <mergeCell ref="C31:M31"/>
    <mergeCell ref="C32:M32"/>
    <mergeCell ref="C33:M33"/>
    <mergeCell ref="C21:M21"/>
    <mergeCell ref="C22:M22"/>
    <mergeCell ref="C23:M23"/>
    <mergeCell ref="C25:M25"/>
    <mergeCell ref="C26:M26"/>
    <mergeCell ref="C27:M2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50"/>
  </sheetPr>
  <dimension ref="B1:Y51"/>
  <sheetViews>
    <sheetView showGridLines="0" topLeftCell="C1" zoomScale="80" zoomScaleNormal="80" workbookViewId="0">
      <selection activeCell="H13" sqref="H13"/>
    </sheetView>
  </sheetViews>
  <sheetFormatPr defaultColWidth="9.140625" defaultRowHeight="14.45"/>
  <cols>
    <col min="1" max="1" width="3.7109375" customWidth="1"/>
    <col min="2" max="2" width="3.5703125" customWidth="1"/>
    <col min="3" max="3" width="10.5703125" customWidth="1"/>
    <col min="4" max="4" width="29.85546875" bestFit="1" customWidth="1"/>
    <col min="5" max="5" width="3.5703125" customWidth="1"/>
    <col min="6" max="6" width="3.7109375" customWidth="1"/>
    <col min="7" max="7" width="30.5703125" style="399" customWidth="1"/>
    <col min="8" max="8" width="15.7109375" style="361" customWidth="1"/>
    <col min="9" max="9" width="17.7109375" style="361" customWidth="1"/>
    <col min="10" max="10" width="15.5703125" style="361" customWidth="1"/>
    <col min="11" max="11" width="15.5703125" style="473" customWidth="1"/>
    <col min="12" max="12" width="5.7109375" style="361" customWidth="1"/>
    <col min="13" max="13" width="20.5703125" style="361" customWidth="1"/>
    <col min="14" max="14" width="10.5703125" style="361" customWidth="1"/>
    <col min="15" max="15" width="5.7109375" style="361" customWidth="1"/>
    <col min="16" max="16" width="20.5703125" style="361" customWidth="1"/>
    <col min="17" max="18" width="10.5703125" style="361" customWidth="1"/>
    <col min="19" max="19" width="5.5703125" style="361" customWidth="1"/>
    <col min="20" max="20" width="5.7109375" customWidth="1"/>
    <col min="21" max="21" width="21.5703125" customWidth="1"/>
  </cols>
  <sheetData>
    <row r="1" spans="2:25" ht="50.1" customHeight="1">
      <c r="G1" s="369" t="s">
        <v>340</v>
      </c>
      <c r="H1" s="369"/>
      <c r="I1" s="369"/>
      <c r="J1" s="369"/>
      <c r="K1" s="710"/>
      <c r="L1" s="369"/>
      <c r="M1" s="369"/>
      <c r="N1" s="369"/>
      <c r="O1" s="369"/>
      <c r="P1" s="369"/>
      <c r="Q1" s="369"/>
      <c r="R1" s="369"/>
      <c r="S1" s="369"/>
    </row>
    <row r="2" spans="2:25" ht="30" customHeight="1" thickBot="1">
      <c r="B2" s="353"/>
      <c r="C2" s="353"/>
      <c r="D2" s="353"/>
      <c r="E2" s="353"/>
      <c r="G2" s="604" t="s">
        <v>341</v>
      </c>
      <c r="H2"/>
      <c r="I2" s="594"/>
      <c r="J2" s="594"/>
      <c r="L2" s="594"/>
      <c r="M2" s="594"/>
      <c r="N2" s="594"/>
      <c r="O2" s="594"/>
      <c r="P2" s="594"/>
      <c r="Q2" s="594"/>
      <c r="R2" s="594"/>
      <c r="T2" s="549"/>
      <c r="U2" s="1"/>
      <c r="V2" s="513"/>
      <c r="W2" s="513"/>
      <c r="X2" s="513"/>
      <c r="Y2" s="513"/>
    </row>
    <row r="3" spans="2:25" s="591" customFormat="1" ht="20.100000000000001" customHeight="1">
      <c r="B3" s="647"/>
      <c r="C3" s="917" t="s">
        <v>162</v>
      </c>
      <c r="D3" s="917"/>
      <c r="E3" s="657"/>
      <c r="G3" s="735" t="s">
        <v>163</v>
      </c>
      <c r="H3" s="736" t="s">
        <v>164</v>
      </c>
      <c r="I3" s="372" t="s">
        <v>165</v>
      </c>
      <c r="J3" s="373" t="s">
        <v>166</v>
      </c>
      <c r="K3" s="656" t="s">
        <v>167</v>
      </c>
      <c r="L3" s="590"/>
      <c r="M3" s="401" t="s">
        <v>168</v>
      </c>
      <c r="N3" s="401" t="s">
        <v>169</v>
      </c>
      <c r="O3" s="401" t="s">
        <v>170</v>
      </c>
      <c r="P3" s="375" t="s">
        <v>168</v>
      </c>
      <c r="Q3" s="375" t="s">
        <v>166</v>
      </c>
      <c r="R3" s="375" t="s">
        <v>169</v>
      </c>
      <c r="S3" s="375" t="s">
        <v>170</v>
      </c>
      <c r="U3" s="362"/>
      <c r="V3" s="376" t="s">
        <v>181</v>
      </c>
    </row>
    <row r="4" spans="2:25" ht="20.100000000000001" customHeight="1" thickBot="1">
      <c r="B4" s="648"/>
      <c r="C4" s="918"/>
      <c r="D4" s="918"/>
      <c r="E4" s="658"/>
      <c r="G4" s="444" t="s">
        <v>341</v>
      </c>
      <c r="H4" s="592" t="s">
        <v>342</v>
      </c>
      <c r="I4" s="593"/>
      <c r="J4" s="542"/>
      <c r="K4" s="381">
        <v>1.45</v>
      </c>
      <c r="L4" s="594"/>
      <c r="M4" s="368"/>
      <c r="N4" s="368"/>
      <c r="O4" s="368"/>
      <c r="P4" s="368"/>
      <c r="Q4" s="368"/>
      <c r="R4" s="368"/>
      <c r="S4" s="368"/>
      <c r="U4" s="384"/>
      <c r="V4" s="563" t="s">
        <v>222</v>
      </c>
    </row>
    <row r="5" spans="2:25" ht="30" customHeight="1">
      <c r="B5" s="648"/>
      <c r="C5" s="756"/>
      <c r="D5" s="376" t="s">
        <v>174</v>
      </c>
      <c r="E5" s="649"/>
      <c r="G5" s="588" t="s">
        <v>343</v>
      </c>
      <c r="H5" s="594"/>
      <c r="I5" s="594"/>
      <c r="J5" s="594"/>
      <c r="L5" s="594"/>
      <c r="M5" s="594"/>
      <c r="N5" s="594"/>
      <c r="O5" s="594"/>
      <c r="P5" s="594"/>
      <c r="Q5" s="594"/>
      <c r="R5" s="594"/>
      <c r="S5" s="594"/>
      <c r="T5" s="513"/>
      <c r="U5" s="386"/>
      <c r="V5" s="376" t="s">
        <v>186</v>
      </c>
      <c r="W5" s="513"/>
      <c r="X5" s="513"/>
      <c r="Y5" s="513"/>
    </row>
    <row r="6" spans="2:25" ht="20.100000000000001" customHeight="1">
      <c r="B6" s="648"/>
      <c r="C6" s="755"/>
      <c r="D6" s="376" t="s">
        <v>177</v>
      </c>
      <c r="E6" s="649"/>
      <c r="G6" s="399" t="s">
        <v>344</v>
      </c>
      <c r="H6" s="595"/>
      <c r="I6" s="595"/>
      <c r="J6" s="595"/>
      <c r="K6" s="739"/>
      <c r="L6" s="594"/>
      <c r="M6" s="595"/>
      <c r="N6" s="595"/>
      <c r="O6" s="595"/>
      <c r="P6" s="595"/>
      <c r="Q6" s="595"/>
      <c r="R6" s="595"/>
      <c r="U6" s="389"/>
      <c r="V6" s="376" t="s">
        <v>188</v>
      </c>
    </row>
    <row r="7" spans="2:25" ht="20.100000000000001" customHeight="1">
      <c r="B7" s="648"/>
      <c r="C7" s="655"/>
      <c r="D7" s="376" t="s">
        <v>167</v>
      </c>
      <c r="E7" s="649"/>
      <c r="G7" s="735" t="s">
        <v>163</v>
      </c>
      <c r="H7" s="736" t="s">
        <v>164</v>
      </c>
      <c r="I7" s="372" t="s">
        <v>165</v>
      </c>
      <c r="J7" s="373" t="s">
        <v>166</v>
      </c>
      <c r="K7" s="656" t="s">
        <v>167</v>
      </c>
      <c r="L7" s="594"/>
      <c r="M7" s="401" t="s">
        <v>168</v>
      </c>
      <c r="N7" s="401" t="s">
        <v>169</v>
      </c>
      <c r="O7" s="401" t="s">
        <v>170</v>
      </c>
      <c r="P7" s="375" t="s">
        <v>168</v>
      </c>
      <c r="Q7" s="375" t="s">
        <v>166</v>
      </c>
      <c r="R7" s="375" t="s">
        <v>169</v>
      </c>
      <c r="S7" s="375" t="s">
        <v>170</v>
      </c>
    </row>
    <row r="8" spans="2:25" ht="20.100000000000001" customHeight="1">
      <c r="B8" s="648"/>
      <c r="C8" s="362"/>
      <c r="D8" s="376" t="s">
        <v>181</v>
      </c>
      <c r="E8" s="649"/>
      <c r="G8" s="444" t="s">
        <v>345</v>
      </c>
      <c r="H8" s="523"/>
      <c r="I8" s="524"/>
      <c r="J8" s="525"/>
      <c r="K8" s="476"/>
      <c r="L8" s="594"/>
      <c r="M8" s="368"/>
      <c r="N8" s="368"/>
      <c r="O8" s="368"/>
      <c r="P8" s="368"/>
      <c r="Q8" s="368"/>
      <c r="R8" s="368"/>
      <c r="S8" s="368"/>
    </row>
    <row r="9" spans="2:25" ht="20.100000000000001" customHeight="1">
      <c r="B9" s="648"/>
      <c r="C9" s="384"/>
      <c r="D9" s="376" t="s">
        <v>184</v>
      </c>
      <c r="E9" s="649"/>
      <c r="G9" s="382" t="s">
        <v>346</v>
      </c>
      <c r="H9" s="423" t="s">
        <v>290</v>
      </c>
      <c r="I9" s="437"/>
      <c r="J9" s="542"/>
      <c r="K9" s="381">
        <v>31.15</v>
      </c>
      <c r="L9" s="594"/>
      <c r="M9" s="751"/>
      <c r="N9" s="751"/>
      <c r="O9" s="751"/>
      <c r="P9" s="751"/>
      <c r="Q9" s="751"/>
      <c r="R9" s="751"/>
      <c r="S9" s="751"/>
    </row>
    <row r="10" spans="2:25" ht="20.100000000000001" customHeight="1">
      <c r="B10" s="648"/>
      <c r="C10" s="386"/>
      <c r="D10" s="376" t="s">
        <v>186</v>
      </c>
      <c r="E10" s="649"/>
      <c r="G10" s="382" t="s">
        <v>347</v>
      </c>
      <c r="H10" s="423" t="s">
        <v>290</v>
      </c>
      <c r="I10" s="437"/>
      <c r="J10" s="542"/>
      <c r="K10" s="381">
        <v>45</v>
      </c>
      <c r="L10" s="594"/>
      <c r="M10" s="751"/>
      <c r="N10" s="751"/>
      <c r="O10" s="751"/>
      <c r="P10" s="751"/>
      <c r="Q10" s="751"/>
      <c r="R10" s="751"/>
      <c r="S10" s="751"/>
    </row>
    <row r="11" spans="2:25" ht="20.100000000000001" customHeight="1">
      <c r="B11" s="648"/>
      <c r="C11" s="389"/>
      <c r="D11" s="376" t="s">
        <v>188</v>
      </c>
      <c r="E11" s="649"/>
      <c r="G11" s="382" t="s">
        <v>348</v>
      </c>
      <c r="H11" s="423" t="s">
        <v>290</v>
      </c>
      <c r="I11" s="437"/>
      <c r="J11" s="542"/>
      <c r="K11" s="381">
        <v>0</v>
      </c>
      <c r="L11" s="594"/>
      <c r="M11" s="751"/>
      <c r="N11" s="751"/>
      <c r="O11" s="751"/>
      <c r="P11" s="751"/>
      <c r="Q11" s="751"/>
      <c r="R11" s="751"/>
      <c r="S11" s="751"/>
    </row>
    <row r="12" spans="2:25" ht="20.100000000000001" customHeight="1">
      <c r="B12" s="648"/>
      <c r="D12" s="376"/>
      <c r="E12" s="649"/>
      <c r="G12" s="382" t="s">
        <v>349</v>
      </c>
      <c r="H12" s="423" t="s">
        <v>290</v>
      </c>
      <c r="I12" s="437"/>
      <c r="J12" s="542"/>
      <c r="K12" s="381">
        <v>0</v>
      </c>
      <c r="L12" s="594"/>
      <c r="M12" s="751"/>
      <c r="N12" s="751"/>
      <c r="O12" s="751"/>
      <c r="P12" s="751"/>
      <c r="Q12" s="751"/>
      <c r="R12" s="751"/>
      <c r="S12" s="751"/>
    </row>
    <row r="13" spans="2:25" ht="20.100000000000001" customHeight="1">
      <c r="B13" s="648"/>
      <c r="C13" s="752" t="s">
        <v>190</v>
      </c>
      <c r="D13" s="646" t="s">
        <v>191</v>
      </c>
      <c r="E13" s="650"/>
      <c r="G13" s="382" t="s">
        <v>350</v>
      </c>
      <c r="H13" s="423" t="s">
        <v>290</v>
      </c>
      <c r="I13" s="437"/>
      <c r="J13" s="542"/>
      <c r="K13" s="381">
        <v>0</v>
      </c>
      <c r="L13" s="594"/>
      <c r="M13" s="751"/>
      <c r="N13" s="751"/>
      <c r="O13" s="751"/>
      <c r="P13" s="751"/>
      <c r="Q13" s="751"/>
      <c r="R13" s="751"/>
      <c r="S13" s="751"/>
    </row>
    <row r="14" spans="2:25" ht="20.100000000000001" customHeight="1">
      <c r="B14" s="648"/>
      <c r="C14" s="753" t="s">
        <v>190</v>
      </c>
      <c r="D14" s="376" t="s">
        <v>192</v>
      </c>
      <c r="E14" s="649"/>
      <c r="G14" s="382" t="s">
        <v>351</v>
      </c>
      <c r="H14" s="423" t="s">
        <v>290</v>
      </c>
      <c r="I14" s="437"/>
      <c r="J14" s="542"/>
      <c r="K14" s="381">
        <v>0</v>
      </c>
      <c r="L14" s="594"/>
      <c r="M14" s="751"/>
      <c r="N14" s="751"/>
      <c r="O14" s="751"/>
      <c r="P14" s="751"/>
      <c r="Q14" s="751"/>
      <c r="R14" s="751"/>
      <c r="S14" s="751"/>
    </row>
    <row r="15" spans="2:25" ht="20.100000000000001" customHeight="1">
      <c r="B15" s="648"/>
      <c r="C15" s="754" t="s">
        <v>190</v>
      </c>
      <c r="D15" s="376" t="s">
        <v>194</v>
      </c>
      <c r="E15" s="649"/>
      <c r="G15" s="382" t="s">
        <v>352</v>
      </c>
      <c r="H15" s="423" t="s">
        <v>290</v>
      </c>
      <c r="I15" s="437"/>
      <c r="J15" s="542"/>
      <c r="K15" s="381">
        <v>6</v>
      </c>
      <c r="L15" s="594"/>
      <c r="M15" s="751"/>
      <c r="N15" s="751"/>
      <c r="O15" s="751"/>
      <c r="P15" s="751"/>
      <c r="Q15" s="751"/>
      <c r="R15" s="751"/>
      <c r="S15" s="751"/>
    </row>
    <row r="16" spans="2:25" ht="20.100000000000001" customHeight="1" thickBot="1">
      <c r="B16" s="651"/>
      <c r="C16" s="652"/>
      <c r="D16" s="652"/>
      <c r="E16" s="653"/>
      <c r="G16" s="382" t="s">
        <v>353</v>
      </c>
      <c r="H16" s="423" t="s">
        <v>290</v>
      </c>
      <c r="I16" s="437"/>
      <c r="J16" s="542"/>
      <c r="K16" s="381">
        <v>15</v>
      </c>
      <c r="L16" s="594"/>
      <c r="M16" s="751"/>
      <c r="N16" s="751"/>
      <c r="O16" s="751"/>
      <c r="P16" s="751"/>
      <c r="Q16" s="751"/>
      <c r="R16" s="751"/>
      <c r="S16" s="751"/>
    </row>
    <row r="17" spans="7:19" ht="20.100000000000001" customHeight="1">
      <c r="G17" s="382" t="s">
        <v>354</v>
      </c>
      <c r="H17" s="423" t="s">
        <v>290</v>
      </c>
      <c r="I17" s="437"/>
      <c r="J17" s="542"/>
      <c r="K17" s="381">
        <v>0</v>
      </c>
      <c r="L17" s="594"/>
      <c r="M17" s="751"/>
      <c r="N17" s="751"/>
      <c r="O17" s="751"/>
      <c r="P17" s="751"/>
      <c r="Q17" s="751"/>
      <c r="R17" s="751"/>
      <c r="S17" s="751"/>
    </row>
    <row r="18" spans="7:19" ht="20.100000000000001" customHeight="1">
      <c r="G18" s="382" t="s">
        <v>355</v>
      </c>
      <c r="H18" s="423" t="s">
        <v>290</v>
      </c>
      <c r="I18" s="437"/>
      <c r="J18" s="542"/>
      <c r="K18" s="381">
        <v>2.8050000000000002</v>
      </c>
      <c r="L18" s="594"/>
      <c r="M18" s="751"/>
      <c r="N18" s="751"/>
      <c r="O18" s="751"/>
      <c r="P18" s="751"/>
      <c r="Q18" s="751"/>
      <c r="R18" s="751"/>
      <c r="S18" s="751"/>
    </row>
    <row r="19" spans="7:19" ht="20.100000000000001" customHeight="1">
      <c r="G19" s="382" t="s">
        <v>356</v>
      </c>
      <c r="H19" s="423" t="s">
        <v>290</v>
      </c>
      <c r="I19" s="437"/>
      <c r="J19" s="542"/>
      <c r="K19" s="381">
        <v>0</v>
      </c>
      <c r="L19" s="594"/>
      <c r="M19" s="751"/>
      <c r="N19" s="751"/>
      <c r="O19" s="751"/>
      <c r="P19" s="751"/>
      <c r="Q19" s="751"/>
      <c r="R19" s="751"/>
      <c r="S19" s="751"/>
    </row>
    <row r="20" spans="7:19" ht="20.100000000000001" customHeight="1" thickBot="1">
      <c r="G20" s="382" t="s">
        <v>357</v>
      </c>
      <c r="H20" s="423" t="s">
        <v>290</v>
      </c>
      <c r="I20" s="596">
        <f>100-SUM(I9:I19)</f>
        <v>100</v>
      </c>
      <c r="J20" s="597"/>
      <c r="K20" s="732">
        <v>4.4999999999987494E-2</v>
      </c>
      <c r="L20" s="594"/>
      <c r="M20" s="751"/>
      <c r="N20" s="751"/>
      <c r="O20" s="751"/>
      <c r="P20" s="751"/>
      <c r="Q20" s="751"/>
      <c r="R20" s="751"/>
      <c r="S20" s="751"/>
    </row>
    <row r="21" spans="7:19" ht="18">
      <c r="K21" s="512"/>
      <c r="L21" s="589"/>
      <c r="M21" s="589"/>
      <c r="N21" s="589"/>
      <c r="O21" s="589"/>
      <c r="P21" s="589"/>
      <c r="Q21" s="589"/>
      <c r="R21" s="589"/>
      <c r="S21" s="589"/>
    </row>
    <row r="22" spans="7:19" ht="18">
      <c r="L22" s="589"/>
      <c r="M22" s="589"/>
      <c r="N22" s="589"/>
      <c r="O22" s="589"/>
    </row>
    <row r="23" spans="7:19" ht="18">
      <c r="L23" s="589"/>
      <c r="M23" s="589"/>
      <c r="N23" s="589"/>
      <c r="O23" s="589"/>
    </row>
    <row r="24" spans="7:19" ht="18">
      <c r="L24" s="589"/>
      <c r="M24" s="589"/>
      <c r="N24" s="589"/>
      <c r="O24" s="589"/>
    </row>
    <row r="50" spans="2:5" ht="15.6">
      <c r="C50" s="354"/>
      <c r="D50" s="354"/>
      <c r="E50" s="354"/>
    </row>
    <row r="51" spans="2:5" ht="15.6">
      <c r="B51" s="354"/>
    </row>
  </sheetData>
  <mergeCells count="1">
    <mergeCell ref="C3:D4"/>
  </mergeCells>
  <phoneticPr fontId="65" type="noConversion"/>
  <dataValidations count="1">
    <dataValidation type="decimal" operator="greaterThanOrEqual" allowBlank="1" showInputMessage="1" showErrorMessage="1" errorTitle="Error" error="Negative number is not allowed" sqref="I9:J9" xr:uid="{00000000-0002-0000-0400-000000000000}">
      <formula1>0</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50"/>
  </sheetPr>
  <dimension ref="A1:AB88"/>
  <sheetViews>
    <sheetView showGridLines="0" topLeftCell="D1" zoomScale="80" zoomScaleNormal="80" workbookViewId="0">
      <selection activeCell="J96" sqref="J96"/>
    </sheetView>
  </sheetViews>
  <sheetFormatPr defaultColWidth="9.140625" defaultRowHeight="14.45"/>
  <cols>
    <col min="1" max="1" width="3.7109375" customWidth="1"/>
    <col min="2" max="2" width="3.5703125" customWidth="1"/>
    <col min="3" max="3" width="10.5703125" customWidth="1"/>
    <col min="4" max="4" width="30.7109375" customWidth="1"/>
    <col min="5" max="5" width="3.5703125" customWidth="1"/>
    <col min="6" max="6" width="3.7109375" customWidth="1"/>
    <col min="7" max="7" width="35.42578125" style="399" customWidth="1"/>
    <col min="8" max="8" width="20.5703125" style="361" customWidth="1"/>
    <col min="9" max="9" width="17.7109375" style="361" customWidth="1"/>
    <col min="10" max="10" width="15.5703125" style="361" customWidth="1"/>
    <col min="11" max="11" width="15.5703125" style="739" customWidth="1"/>
    <col min="12" max="12" width="5.7109375" style="361" customWidth="1"/>
    <col min="13" max="13" width="20.5703125" style="361" customWidth="1"/>
    <col min="14" max="14" width="10.5703125" style="361" customWidth="1"/>
    <col min="15" max="15" width="5.7109375" style="361" customWidth="1"/>
    <col min="16" max="16" width="20.5703125" style="361" customWidth="1"/>
    <col min="17" max="18" width="10.5703125" style="361" customWidth="1"/>
    <col min="19" max="19" width="5.5703125" style="361" customWidth="1"/>
    <col min="20" max="20" width="10.28515625" customWidth="1"/>
    <col min="21" max="21" width="32.85546875" customWidth="1"/>
    <col min="22" max="22" width="26.42578125" customWidth="1"/>
    <col min="23" max="23" width="19.140625" customWidth="1"/>
    <col min="24" max="24" width="23.85546875" customWidth="1"/>
    <col min="25" max="25" width="46.7109375" customWidth="1"/>
    <col min="26" max="26" width="23.28515625" customWidth="1"/>
    <col min="27" max="27" width="22.7109375" customWidth="1"/>
    <col min="28" max="28" width="25.85546875" customWidth="1"/>
    <col min="29" max="29" width="38.28515625" bestFit="1" customWidth="1"/>
  </cols>
  <sheetData>
    <row r="1" spans="1:28" ht="50.1" customHeight="1">
      <c r="G1" s="369" t="s">
        <v>358</v>
      </c>
      <c r="H1" s="594"/>
      <c r="I1" s="594"/>
      <c r="J1" s="594"/>
      <c r="K1" s="600"/>
      <c r="L1" s="594"/>
      <c r="M1" s="594"/>
      <c r="N1" s="594"/>
      <c r="O1" s="594"/>
      <c r="P1" s="594"/>
      <c r="Q1" s="594"/>
      <c r="R1" s="594"/>
      <c r="S1" s="594"/>
    </row>
    <row r="2" spans="1:28" ht="30" customHeight="1">
      <c r="B2" s="353"/>
      <c r="C2" s="353"/>
      <c r="D2" s="353"/>
      <c r="E2" s="353"/>
      <c r="G2" s="604" t="s">
        <v>359</v>
      </c>
      <c r="X2" s="475"/>
      <c r="Y2" s="475"/>
    </row>
    <row r="3" spans="1:28" ht="30" customHeight="1" thickBot="1">
      <c r="A3" s="591"/>
      <c r="G3" s="534" t="s">
        <v>360</v>
      </c>
    </row>
    <row r="4" spans="1:28" ht="20.100000000000001" customHeight="1">
      <c r="B4" s="647"/>
      <c r="C4" s="917" t="s">
        <v>162</v>
      </c>
      <c r="D4" s="917"/>
      <c r="E4" s="657"/>
      <c r="G4" s="735" t="s">
        <v>163</v>
      </c>
      <c r="H4" s="736" t="s">
        <v>164</v>
      </c>
      <c r="I4" s="372" t="s">
        <v>165</v>
      </c>
      <c r="J4" s="373" t="s">
        <v>166</v>
      </c>
      <c r="K4" s="656" t="s">
        <v>167</v>
      </c>
      <c r="M4" s="401" t="s">
        <v>168</v>
      </c>
      <c r="N4" s="401" t="s">
        <v>169</v>
      </c>
      <c r="O4" s="401" t="s">
        <v>170</v>
      </c>
      <c r="P4" s="375" t="s">
        <v>168</v>
      </c>
      <c r="Q4" s="375" t="s">
        <v>166</v>
      </c>
      <c r="R4" s="375" t="s">
        <v>169</v>
      </c>
      <c r="S4" s="375" t="s">
        <v>170</v>
      </c>
      <c r="V4" s="475"/>
      <c r="W4" s="475"/>
      <c r="X4" s="462"/>
    </row>
    <row r="5" spans="1:28" ht="20.100000000000001" customHeight="1" thickBot="1">
      <c r="B5" s="648"/>
      <c r="C5" s="918"/>
      <c r="D5" s="918"/>
      <c r="E5" s="658"/>
      <c r="G5" s="444" t="s">
        <v>361</v>
      </c>
      <c r="H5" s="523"/>
      <c r="I5" s="524"/>
      <c r="J5" s="525"/>
      <c r="K5" s="502"/>
      <c r="M5" s="368"/>
      <c r="N5" s="368"/>
      <c r="O5" s="368"/>
      <c r="P5" s="368"/>
      <c r="Q5" s="368"/>
      <c r="R5" s="368"/>
      <c r="S5" s="368"/>
      <c r="Z5" s="462"/>
      <c r="AA5" s="462"/>
      <c r="AB5" s="462"/>
    </row>
    <row r="6" spans="1:28" ht="20.100000000000001" customHeight="1" thickBot="1">
      <c r="B6" s="648"/>
      <c r="C6" s="756"/>
      <c r="D6" s="376" t="s">
        <v>174</v>
      </c>
      <c r="E6" s="747"/>
      <c r="G6" s="382" t="s">
        <v>362</v>
      </c>
      <c r="H6" s="378" t="s">
        <v>363</v>
      </c>
      <c r="I6" s="593"/>
      <c r="J6" s="542"/>
      <c r="K6" s="531">
        <f>7.12*365</f>
        <v>2598.8000000000002</v>
      </c>
      <c r="M6" s="368"/>
      <c r="N6" s="368"/>
      <c r="O6" s="368"/>
      <c r="P6" s="368"/>
      <c r="Q6" s="368"/>
      <c r="R6" s="368"/>
      <c r="S6" s="368"/>
      <c r="V6" s="462"/>
      <c r="W6" s="462"/>
      <c r="Z6" s="462"/>
      <c r="AA6" s="462"/>
      <c r="AB6" s="462"/>
    </row>
    <row r="7" spans="1:28" ht="30" customHeight="1" thickBot="1">
      <c r="B7" s="648"/>
      <c r="C7" s="755"/>
      <c r="D7" s="376" t="s">
        <v>177</v>
      </c>
      <c r="E7" s="747"/>
      <c r="G7" s="534" t="s">
        <v>364</v>
      </c>
      <c r="M7" s="594"/>
      <c r="N7" s="594"/>
      <c r="O7" s="594"/>
      <c r="P7" s="594"/>
      <c r="Z7" s="462"/>
      <c r="AA7" s="462"/>
      <c r="AB7" s="462"/>
    </row>
    <row r="8" spans="1:28" ht="20.100000000000001" customHeight="1">
      <c r="B8" s="648"/>
      <c r="C8" s="655"/>
      <c r="D8" s="376" t="s">
        <v>167</v>
      </c>
      <c r="E8" s="747"/>
      <c r="G8" s="735" t="s">
        <v>163</v>
      </c>
      <c r="H8" s="736" t="s">
        <v>164</v>
      </c>
      <c r="I8" s="372" t="s">
        <v>165</v>
      </c>
      <c r="J8" s="373" t="s">
        <v>166</v>
      </c>
      <c r="K8" s="656" t="s">
        <v>167</v>
      </c>
      <c r="M8" s="401" t="s">
        <v>168</v>
      </c>
      <c r="N8" s="401" t="s">
        <v>169</v>
      </c>
      <c r="O8" s="401" t="s">
        <v>170</v>
      </c>
      <c r="P8" s="375" t="s">
        <v>168</v>
      </c>
      <c r="Q8" s="375" t="s">
        <v>166</v>
      </c>
      <c r="R8" s="375" t="s">
        <v>169</v>
      </c>
      <c r="S8" s="375" t="s">
        <v>170</v>
      </c>
      <c r="Z8" s="462"/>
      <c r="AA8" s="462"/>
      <c r="AB8" s="462"/>
    </row>
    <row r="9" spans="1:28" ht="20.100000000000001" customHeight="1">
      <c r="B9" s="648"/>
      <c r="C9" s="362"/>
      <c r="D9" s="376" t="s">
        <v>181</v>
      </c>
      <c r="E9" s="747"/>
      <c r="G9" s="444" t="s">
        <v>365</v>
      </c>
      <c r="H9" s="523"/>
      <c r="I9" s="524"/>
      <c r="J9" s="525"/>
      <c r="K9" s="502"/>
      <c r="M9" s="368"/>
      <c r="N9" s="368"/>
      <c r="O9" s="368"/>
      <c r="P9" s="368"/>
      <c r="Q9" s="368"/>
      <c r="R9" s="368"/>
      <c r="S9" s="368"/>
      <c r="Z9" s="462"/>
      <c r="AA9" s="462"/>
      <c r="AB9" s="462"/>
    </row>
    <row r="10" spans="1:28" ht="20.100000000000001" customHeight="1">
      <c r="B10" s="648"/>
      <c r="C10" s="384"/>
      <c r="D10" s="376" t="s">
        <v>184</v>
      </c>
      <c r="E10" s="747"/>
      <c r="G10" s="382" t="s">
        <v>366</v>
      </c>
      <c r="H10" s="423" t="s">
        <v>367</v>
      </c>
      <c r="I10" s="608"/>
      <c r="J10" s="607"/>
      <c r="K10" s="737">
        <v>1.22</v>
      </c>
      <c r="M10" s="368"/>
      <c r="N10" s="368"/>
      <c r="O10" s="368"/>
      <c r="P10" s="368"/>
      <c r="Q10" s="368"/>
      <c r="R10" s="368"/>
      <c r="S10" s="368"/>
      <c r="Z10" s="462"/>
      <c r="AA10" s="462"/>
      <c r="AB10" s="462"/>
    </row>
    <row r="11" spans="1:28" ht="20.100000000000001" customHeight="1">
      <c r="B11" s="648"/>
      <c r="C11" s="386"/>
      <c r="D11" s="376" t="s">
        <v>186</v>
      </c>
      <c r="E11" s="747"/>
      <c r="G11" s="382" t="s">
        <v>368</v>
      </c>
      <c r="H11" s="423" t="s">
        <v>369</v>
      </c>
      <c r="I11" s="608"/>
      <c r="J11" s="607"/>
      <c r="K11" s="737">
        <v>1.22</v>
      </c>
      <c r="M11" s="368"/>
      <c r="N11" s="368"/>
      <c r="O11" s="368"/>
      <c r="P11" s="368"/>
      <c r="Q11" s="368"/>
      <c r="R11" s="368"/>
      <c r="S11" s="368"/>
      <c r="Z11" s="462"/>
      <c r="AA11" s="462"/>
      <c r="AB11" s="462"/>
    </row>
    <row r="12" spans="1:28" ht="20.100000000000001" customHeight="1">
      <c r="B12" s="648"/>
      <c r="C12" s="389"/>
      <c r="D12" s="376" t="s">
        <v>188</v>
      </c>
      <c r="E12" s="747"/>
      <c r="G12" s="382" t="s">
        <v>370</v>
      </c>
      <c r="H12" s="423" t="s">
        <v>371</v>
      </c>
      <c r="I12" s="608"/>
      <c r="J12" s="607"/>
      <c r="K12" s="737">
        <v>1.22</v>
      </c>
      <c r="M12" s="368"/>
      <c r="N12" s="368"/>
      <c r="O12" s="368"/>
      <c r="P12" s="368"/>
      <c r="Q12" s="368"/>
      <c r="R12" s="368"/>
      <c r="S12" s="368"/>
      <c r="Z12" s="462"/>
      <c r="AA12" s="462"/>
      <c r="AB12" s="462"/>
    </row>
    <row r="13" spans="1:28" ht="20.100000000000001" customHeight="1">
      <c r="B13" s="648"/>
      <c r="D13" s="376"/>
      <c r="E13" s="747"/>
      <c r="G13" s="382" t="s">
        <v>372</v>
      </c>
      <c r="H13" s="423" t="s">
        <v>373</v>
      </c>
      <c r="I13" s="608"/>
      <c r="J13" s="607"/>
      <c r="K13" s="737">
        <v>1.22</v>
      </c>
      <c r="M13" s="368"/>
      <c r="N13" s="368"/>
      <c r="O13" s="368"/>
      <c r="P13" s="368"/>
      <c r="Q13" s="368"/>
      <c r="R13" s="368"/>
      <c r="S13" s="368"/>
      <c r="Z13" s="462"/>
      <c r="AA13" s="462"/>
      <c r="AB13" s="462"/>
    </row>
    <row r="14" spans="1:28" ht="20.100000000000001" customHeight="1">
      <c r="B14" s="648"/>
      <c r="C14" s="752" t="s">
        <v>190</v>
      </c>
      <c r="D14" s="646" t="s">
        <v>191</v>
      </c>
      <c r="E14" s="748"/>
      <c r="G14" s="382" t="s">
        <v>374</v>
      </c>
      <c r="H14" s="423" t="s">
        <v>375</v>
      </c>
      <c r="I14" s="608"/>
      <c r="J14" s="607"/>
      <c r="K14" s="737">
        <v>1.22</v>
      </c>
      <c r="M14" s="368"/>
      <c r="N14" s="368"/>
      <c r="O14" s="368"/>
      <c r="P14" s="368"/>
      <c r="Q14" s="368"/>
      <c r="R14" s="368"/>
      <c r="S14" s="368"/>
      <c r="Z14" s="462"/>
      <c r="AA14" s="462"/>
      <c r="AB14" s="462"/>
    </row>
    <row r="15" spans="1:28" ht="20.100000000000001" customHeight="1">
      <c r="B15" s="648"/>
      <c r="C15" s="753" t="s">
        <v>190</v>
      </c>
      <c r="D15" s="376" t="s">
        <v>192</v>
      </c>
      <c r="E15" s="747"/>
      <c r="G15" s="382" t="s">
        <v>376</v>
      </c>
      <c r="H15" s="423" t="s">
        <v>377</v>
      </c>
      <c r="I15" s="608"/>
      <c r="J15" s="607"/>
      <c r="K15" s="737">
        <v>11.888455128644157</v>
      </c>
      <c r="M15" s="368"/>
      <c r="N15" s="368"/>
      <c r="O15" s="368"/>
      <c r="P15" s="368"/>
      <c r="Q15" s="368"/>
      <c r="R15" s="368"/>
      <c r="S15" s="368"/>
      <c r="Z15" s="462"/>
      <c r="AA15" s="462"/>
      <c r="AB15" s="462"/>
    </row>
    <row r="16" spans="1:28" ht="20.100000000000001" customHeight="1">
      <c r="B16" s="648"/>
      <c r="C16" s="754" t="s">
        <v>190</v>
      </c>
      <c r="D16" s="376" t="s">
        <v>194</v>
      </c>
      <c r="E16" s="747"/>
      <c r="G16" s="382" t="s">
        <v>378</v>
      </c>
      <c r="H16" s="423" t="s">
        <v>379</v>
      </c>
      <c r="I16" s="608"/>
      <c r="J16" s="607"/>
      <c r="K16" s="737">
        <v>11.888455128644157</v>
      </c>
      <c r="M16" s="368"/>
      <c r="N16" s="368"/>
      <c r="O16" s="368"/>
      <c r="P16" s="368"/>
      <c r="Q16" s="368"/>
      <c r="R16" s="368"/>
      <c r="S16" s="368"/>
      <c r="Z16" s="462"/>
      <c r="AA16" s="462"/>
      <c r="AB16" s="462"/>
    </row>
    <row r="17" spans="2:28" ht="20.100000000000001" customHeight="1" thickBot="1">
      <c r="B17" s="651"/>
      <c r="C17" s="652"/>
      <c r="D17" s="652"/>
      <c r="E17" s="653"/>
      <c r="G17" s="382" t="s">
        <v>380</v>
      </c>
      <c r="H17" s="423" t="s">
        <v>381</v>
      </c>
      <c r="I17" s="608"/>
      <c r="J17" s="607"/>
      <c r="K17" s="737">
        <v>11.888455128644157</v>
      </c>
      <c r="M17" s="368"/>
      <c r="N17" s="368"/>
      <c r="O17" s="368"/>
      <c r="P17" s="368"/>
      <c r="Q17" s="368"/>
      <c r="R17" s="368"/>
      <c r="S17" s="368"/>
      <c r="Z17" s="462"/>
      <c r="AA17" s="462"/>
      <c r="AB17" s="462"/>
    </row>
    <row r="18" spans="2:28" ht="20.100000000000001" customHeight="1">
      <c r="G18" s="382" t="s">
        <v>382</v>
      </c>
      <c r="H18" s="423" t="s">
        <v>383</v>
      </c>
      <c r="I18" s="608"/>
      <c r="J18" s="607"/>
      <c r="K18" s="737">
        <v>11.888455128644157</v>
      </c>
      <c r="M18" s="368"/>
      <c r="N18" s="368"/>
      <c r="O18" s="368"/>
      <c r="P18" s="368"/>
      <c r="Q18" s="368"/>
      <c r="R18" s="368"/>
      <c r="S18" s="368"/>
      <c r="Z18" s="462"/>
      <c r="AA18" s="462"/>
      <c r="AB18" s="462"/>
    </row>
    <row r="19" spans="2:28" ht="20.100000000000001" customHeight="1">
      <c r="G19" s="382" t="s">
        <v>384</v>
      </c>
      <c r="H19" s="423" t="s">
        <v>385</v>
      </c>
      <c r="I19" s="608"/>
      <c r="J19" s="607"/>
      <c r="K19" s="737">
        <v>75</v>
      </c>
      <c r="M19" s="368"/>
      <c r="N19" s="368"/>
      <c r="O19" s="368"/>
      <c r="P19" s="368"/>
      <c r="Q19" s="368"/>
      <c r="R19" s="368"/>
      <c r="S19" s="368"/>
      <c r="Z19" s="462"/>
      <c r="AA19" s="462"/>
      <c r="AB19" s="462"/>
    </row>
    <row r="20" spans="2:28" ht="20.100000000000001" customHeight="1">
      <c r="G20" s="382" t="s">
        <v>386</v>
      </c>
      <c r="H20" s="423" t="s">
        <v>387</v>
      </c>
      <c r="I20" s="608"/>
      <c r="J20" s="607"/>
      <c r="K20" s="737">
        <v>8.5186729701503801</v>
      </c>
      <c r="M20" s="368"/>
      <c r="N20" s="368"/>
      <c r="O20" s="368"/>
      <c r="P20" s="368"/>
      <c r="Q20" s="368"/>
      <c r="R20" s="368"/>
      <c r="S20" s="368"/>
      <c r="Z20" s="462"/>
      <c r="AA20" s="462"/>
      <c r="AB20" s="462"/>
    </row>
    <row r="21" spans="2:28" ht="20.100000000000001" customHeight="1">
      <c r="G21" s="382" t="s">
        <v>353</v>
      </c>
      <c r="H21" s="423" t="s">
        <v>388</v>
      </c>
      <c r="I21" s="608"/>
      <c r="J21" s="607"/>
      <c r="K21" s="737">
        <v>200</v>
      </c>
      <c r="M21" s="368"/>
      <c r="N21" s="368"/>
      <c r="O21" s="368"/>
      <c r="P21" s="368"/>
      <c r="Q21" s="368"/>
      <c r="R21" s="368"/>
      <c r="S21" s="368"/>
      <c r="T21" s="599"/>
      <c r="U21" s="599"/>
      <c r="Z21" s="462"/>
      <c r="AA21" s="462"/>
      <c r="AB21" s="462"/>
    </row>
    <row r="22" spans="2:28" ht="20.100000000000001" customHeight="1" thickBot="1">
      <c r="G22" s="382" t="s">
        <v>389</v>
      </c>
      <c r="H22" s="423" t="s">
        <v>390</v>
      </c>
      <c r="I22" s="609"/>
      <c r="J22" s="607"/>
      <c r="K22" s="737">
        <v>1</v>
      </c>
      <c r="M22" s="368"/>
      <c r="N22" s="368"/>
      <c r="O22" s="368"/>
      <c r="P22" s="368"/>
      <c r="Q22" s="368"/>
      <c r="R22" s="368"/>
      <c r="S22" s="368"/>
      <c r="Z22" s="462"/>
      <c r="AA22" s="462"/>
      <c r="AB22" s="462"/>
    </row>
    <row r="23" spans="2:28" ht="30" customHeight="1" thickBot="1">
      <c r="G23" s="534" t="s">
        <v>391</v>
      </c>
      <c r="H23" s="600"/>
      <c r="I23" s="601" t="s">
        <v>392</v>
      </c>
      <c r="J23" s="601"/>
      <c r="M23" s="600"/>
      <c r="N23" s="600"/>
      <c r="O23" s="600"/>
      <c r="P23" s="600"/>
      <c r="Q23" s="600"/>
      <c r="Z23" s="462"/>
      <c r="AA23" s="462"/>
      <c r="AB23" s="462"/>
    </row>
    <row r="24" spans="2:28" ht="20.100000000000001" customHeight="1">
      <c r="G24" s="735" t="s">
        <v>163</v>
      </c>
      <c r="H24" s="736" t="s">
        <v>164</v>
      </c>
      <c r="I24" s="372" t="s">
        <v>165</v>
      </c>
      <c r="J24" s="373" t="s">
        <v>166</v>
      </c>
      <c r="K24" s="656" t="s">
        <v>167</v>
      </c>
      <c r="M24" s="401" t="s">
        <v>168</v>
      </c>
      <c r="N24" s="401" t="s">
        <v>169</v>
      </c>
      <c r="O24" s="401" t="s">
        <v>170</v>
      </c>
      <c r="P24" s="375" t="s">
        <v>168</v>
      </c>
      <c r="Q24" s="375" t="s">
        <v>166</v>
      </c>
      <c r="R24" s="375" t="s">
        <v>169</v>
      </c>
      <c r="S24" s="375" t="s">
        <v>170</v>
      </c>
      <c r="Z24" s="462"/>
      <c r="AA24" s="462"/>
      <c r="AB24" s="462"/>
    </row>
    <row r="25" spans="2:28" ht="20.100000000000001" customHeight="1">
      <c r="G25" s="444" t="s">
        <v>345</v>
      </c>
      <c r="H25" s="523"/>
      <c r="I25" s="524"/>
      <c r="J25" s="525"/>
      <c r="K25" s="502"/>
      <c r="M25" s="368"/>
      <c r="N25" s="368"/>
      <c r="O25" s="368"/>
      <c r="P25" s="368"/>
      <c r="Q25" s="368"/>
      <c r="R25" s="368"/>
      <c r="S25" s="368"/>
      <c r="Z25" s="462"/>
      <c r="AA25" s="462"/>
      <c r="AB25" s="462"/>
    </row>
    <row r="26" spans="2:28" ht="20.100000000000001" customHeight="1">
      <c r="G26" s="382" t="s">
        <v>366</v>
      </c>
      <c r="H26" s="423" t="s">
        <v>176</v>
      </c>
      <c r="I26" s="727"/>
      <c r="J26" s="542"/>
      <c r="K26" s="738">
        <v>21.76</v>
      </c>
      <c r="M26" s="368"/>
      <c r="N26" s="368"/>
      <c r="O26" s="368"/>
      <c r="P26" s="368"/>
      <c r="Q26" s="368"/>
      <c r="R26" s="368"/>
      <c r="S26" s="368"/>
      <c r="Z26" s="462"/>
      <c r="AA26" s="462"/>
      <c r="AB26" s="462"/>
    </row>
    <row r="27" spans="2:28" ht="20.100000000000001" customHeight="1">
      <c r="G27" s="382" t="s">
        <v>368</v>
      </c>
      <c r="H27" s="423" t="s">
        <v>176</v>
      </c>
      <c r="I27" s="727"/>
      <c r="J27" s="542"/>
      <c r="K27" s="738">
        <v>17.760000000000002</v>
      </c>
      <c r="M27" s="368"/>
      <c r="N27" s="368"/>
      <c r="O27" s="368"/>
      <c r="P27" s="368"/>
      <c r="Q27" s="368"/>
      <c r="R27" s="368"/>
      <c r="S27" s="368"/>
      <c r="Z27" s="462"/>
      <c r="AA27" s="462"/>
      <c r="AB27" s="462"/>
    </row>
    <row r="28" spans="2:28" ht="20.100000000000001" customHeight="1">
      <c r="G28" s="382" t="s">
        <v>370</v>
      </c>
      <c r="H28" s="423" t="s">
        <v>176</v>
      </c>
      <c r="I28" s="437"/>
      <c r="J28" s="542"/>
      <c r="K28" s="527">
        <v>3.5999999999999997E-2</v>
      </c>
      <c r="M28" s="368"/>
      <c r="N28" s="368"/>
      <c r="O28" s="368"/>
      <c r="P28" s="368"/>
      <c r="Q28" s="368"/>
      <c r="R28" s="368"/>
      <c r="S28" s="368"/>
      <c r="Z28" s="462"/>
      <c r="AA28" s="462"/>
      <c r="AB28" s="462"/>
    </row>
    <row r="29" spans="2:28" ht="20.100000000000001" customHeight="1">
      <c r="G29" s="382" t="s">
        <v>372</v>
      </c>
      <c r="H29" s="423" t="s">
        <v>176</v>
      </c>
      <c r="I29" s="437"/>
      <c r="J29" s="542"/>
      <c r="K29" s="527">
        <v>0.43200000000000005</v>
      </c>
      <c r="M29" s="368"/>
      <c r="N29" s="368"/>
      <c r="O29" s="368"/>
      <c r="P29" s="368"/>
      <c r="Q29" s="368"/>
      <c r="R29" s="368"/>
      <c r="S29" s="368"/>
      <c r="T29" s="3"/>
      <c r="Z29" s="462"/>
      <c r="AA29" s="462"/>
      <c r="AB29" s="462"/>
    </row>
    <row r="30" spans="2:28" ht="20.100000000000001" customHeight="1">
      <c r="G30" s="382" t="s">
        <v>374</v>
      </c>
      <c r="H30" s="423" t="s">
        <v>176</v>
      </c>
      <c r="I30" s="437"/>
      <c r="J30" s="542"/>
      <c r="K30" s="527">
        <v>0</v>
      </c>
      <c r="M30" s="368"/>
      <c r="N30" s="368"/>
      <c r="O30" s="368"/>
      <c r="P30" s="368"/>
      <c r="Q30" s="368"/>
      <c r="R30" s="368"/>
      <c r="S30" s="368"/>
      <c r="T30" s="602"/>
      <c r="U30" s="602"/>
      <c r="Z30" s="462"/>
      <c r="AA30" s="462"/>
      <c r="AB30" s="462"/>
    </row>
    <row r="31" spans="2:28" ht="20.100000000000001" customHeight="1">
      <c r="G31" s="382" t="s">
        <v>376</v>
      </c>
      <c r="H31" s="423" t="s">
        <v>176</v>
      </c>
      <c r="I31" s="727"/>
      <c r="J31" s="542"/>
      <c r="K31" s="527">
        <v>1.9737</v>
      </c>
      <c r="M31" s="368"/>
      <c r="N31" s="368"/>
      <c r="O31" s="368"/>
      <c r="P31" s="368"/>
      <c r="Q31" s="368"/>
      <c r="R31" s="368"/>
      <c r="S31" s="368"/>
      <c r="T31" s="602"/>
      <c r="U31" s="602"/>
      <c r="Z31" s="462"/>
      <c r="AA31" s="462"/>
      <c r="AB31" s="462"/>
    </row>
    <row r="32" spans="2:28" ht="20.100000000000001" customHeight="1">
      <c r="G32" s="382" t="s">
        <v>378</v>
      </c>
      <c r="H32" s="423" t="s">
        <v>176</v>
      </c>
      <c r="I32" s="437"/>
      <c r="J32" s="542"/>
      <c r="K32" s="527">
        <v>0.13158</v>
      </c>
      <c r="M32" s="368"/>
      <c r="N32" s="368"/>
      <c r="O32" s="368"/>
      <c r="P32" s="368"/>
      <c r="Q32" s="368"/>
      <c r="R32" s="368"/>
      <c r="S32" s="368"/>
      <c r="T32" s="749"/>
      <c r="U32" s="749"/>
      <c r="Z32" s="462"/>
      <c r="AA32" s="462"/>
      <c r="AB32" s="462"/>
    </row>
    <row r="33" spans="7:28" ht="20.100000000000001" customHeight="1">
      <c r="G33" s="382" t="s">
        <v>380</v>
      </c>
      <c r="H33" s="423" t="s">
        <v>176</v>
      </c>
      <c r="I33" s="437"/>
      <c r="J33" s="542"/>
      <c r="K33" s="527">
        <v>0</v>
      </c>
      <c r="M33" s="368"/>
      <c r="N33" s="368"/>
      <c r="O33" s="368"/>
      <c r="P33" s="368"/>
      <c r="Q33" s="368"/>
      <c r="R33" s="368"/>
      <c r="S33" s="368"/>
      <c r="T33" s="749"/>
      <c r="U33" s="749"/>
      <c r="Z33" s="462"/>
      <c r="AA33" s="462"/>
      <c r="AB33" s="462"/>
    </row>
    <row r="34" spans="7:28" ht="20.100000000000001" customHeight="1">
      <c r="G34" s="382" t="s">
        <v>382</v>
      </c>
      <c r="H34" s="423" t="s">
        <v>176</v>
      </c>
      <c r="I34" s="437"/>
      <c r="J34" s="542"/>
      <c r="K34" s="527">
        <v>0.01</v>
      </c>
      <c r="M34" s="368"/>
      <c r="N34" s="368"/>
      <c r="O34" s="368"/>
      <c r="P34" s="368"/>
      <c r="Q34" s="368"/>
      <c r="R34" s="368"/>
      <c r="S34" s="368"/>
      <c r="T34" s="749"/>
      <c r="U34" s="749"/>
      <c r="Z34" s="462"/>
      <c r="AA34" s="462"/>
      <c r="AB34" s="462"/>
    </row>
    <row r="35" spans="7:28" ht="20.100000000000001" customHeight="1">
      <c r="G35" s="382" t="s">
        <v>384</v>
      </c>
      <c r="H35" s="423" t="s">
        <v>176</v>
      </c>
      <c r="I35" s="437"/>
      <c r="J35" s="542"/>
      <c r="K35" s="527">
        <v>0</v>
      </c>
      <c r="M35" s="368"/>
      <c r="N35" s="368"/>
      <c r="O35" s="368"/>
      <c r="P35" s="368"/>
      <c r="Q35" s="368"/>
      <c r="R35" s="368"/>
      <c r="S35" s="368"/>
      <c r="Z35" s="462"/>
      <c r="AA35" s="462"/>
      <c r="AB35" s="462"/>
    </row>
    <row r="36" spans="7:28" ht="20.100000000000001" customHeight="1">
      <c r="G36" s="382" t="s">
        <v>386</v>
      </c>
      <c r="H36" s="423" t="s">
        <v>176</v>
      </c>
      <c r="I36" s="437"/>
      <c r="J36" s="542"/>
      <c r="K36" s="527">
        <v>1.5131699999999999</v>
      </c>
      <c r="M36" s="368"/>
      <c r="N36" s="368"/>
      <c r="O36" s="368"/>
      <c r="P36" s="368"/>
      <c r="Q36" s="368"/>
      <c r="R36" s="368"/>
      <c r="S36" s="368"/>
      <c r="Z36" s="462"/>
      <c r="AA36" s="462"/>
      <c r="AB36" s="462"/>
    </row>
    <row r="37" spans="7:28" ht="20.100000000000001" customHeight="1">
      <c r="G37" s="382" t="s">
        <v>353</v>
      </c>
      <c r="H37" s="423" t="s">
        <v>176</v>
      </c>
      <c r="I37" s="727"/>
      <c r="J37" s="542"/>
      <c r="K37" s="527">
        <v>5.8553100000000002</v>
      </c>
      <c r="M37" s="368"/>
      <c r="N37" s="368"/>
      <c r="O37" s="368"/>
      <c r="P37" s="368"/>
      <c r="Q37" s="368"/>
      <c r="R37" s="368"/>
      <c r="S37" s="368"/>
      <c r="Z37" s="462"/>
      <c r="AA37" s="462"/>
      <c r="AB37" s="462"/>
    </row>
    <row r="38" spans="7:28" ht="20.100000000000001" customHeight="1" thickBot="1">
      <c r="G38" s="382" t="s">
        <v>389</v>
      </c>
      <c r="H38" s="423" t="s">
        <v>176</v>
      </c>
      <c r="I38" s="596">
        <f>100-SUM(I26:I37)</f>
        <v>100</v>
      </c>
      <c r="J38" s="867">
        <f>100-SUM(J26:J37)</f>
        <v>100</v>
      </c>
      <c r="K38" s="866">
        <f>100-SUM(K26:K37)</f>
        <v>50.52823999999999</v>
      </c>
      <c r="M38" s="368"/>
      <c r="N38" s="368"/>
      <c r="O38" s="368"/>
      <c r="P38" s="368"/>
      <c r="Q38" s="368"/>
      <c r="R38" s="368"/>
      <c r="S38" s="368"/>
      <c r="Z38" s="462"/>
      <c r="AA38" s="462"/>
      <c r="AB38" s="462"/>
    </row>
    <row r="39" spans="7:28" ht="20.100000000000001" customHeight="1">
      <c r="G39" s="654"/>
      <c r="H39" s="475"/>
      <c r="I39" s="475"/>
      <c r="J39" s="475"/>
      <c r="K39" s="750"/>
      <c r="M39" s="475"/>
      <c r="N39" s="475"/>
      <c r="O39" s="475"/>
      <c r="P39" s="475"/>
      <c r="Z39" s="462"/>
      <c r="AA39" s="462"/>
      <c r="AB39" s="462"/>
    </row>
    <row r="40" spans="7:28" ht="30" customHeight="1">
      <c r="G40" s="604" t="s">
        <v>393</v>
      </c>
      <c r="H40" s="475"/>
      <c r="I40" s="475"/>
      <c r="J40" s="475"/>
      <c r="K40" s="750"/>
      <c r="M40" s="475"/>
      <c r="N40" s="475"/>
      <c r="O40" s="475"/>
      <c r="P40" s="475"/>
      <c r="Z40" s="462"/>
      <c r="AA40" s="462"/>
      <c r="AB40" s="462"/>
    </row>
    <row r="41" spans="7:28" ht="30" customHeight="1" thickBot="1">
      <c r="G41" s="534" t="s">
        <v>394</v>
      </c>
      <c r="Q41" s="594"/>
      <c r="Z41" s="462"/>
      <c r="AA41" s="462"/>
      <c r="AB41" s="462"/>
    </row>
    <row r="42" spans="7:28" ht="20.100000000000001" customHeight="1">
      <c r="G42" s="735" t="s">
        <v>163</v>
      </c>
      <c r="H42" s="736" t="s">
        <v>164</v>
      </c>
      <c r="I42" s="372" t="s">
        <v>165</v>
      </c>
      <c r="J42" s="373" t="s">
        <v>166</v>
      </c>
      <c r="K42" s="656" t="s">
        <v>167</v>
      </c>
      <c r="M42" s="401" t="s">
        <v>168</v>
      </c>
      <c r="N42" s="401" t="s">
        <v>169</v>
      </c>
      <c r="O42" s="401" t="s">
        <v>170</v>
      </c>
      <c r="P42" s="375" t="s">
        <v>168</v>
      </c>
      <c r="Q42" s="375" t="s">
        <v>166</v>
      </c>
      <c r="R42" s="375" t="s">
        <v>169</v>
      </c>
      <c r="S42" s="375" t="s">
        <v>170</v>
      </c>
      <c r="Z42" s="462"/>
      <c r="AA42" s="462"/>
      <c r="AB42" s="462"/>
    </row>
    <row r="43" spans="7:28" ht="20.100000000000001" customHeight="1">
      <c r="G43" s="444" t="s">
        <v>361</v>
      </c>
      <c r="H43" s="523"/>
      <c r="I43" s="524"/>
      <c r="J43" s="525"/>
      <c r="K43" s="502"/>
      <c r="M43" s="538"/>
      <c r="N43" s="538"/>
      <c r="O43" s="538"/>
      <c r="P43" s="538"/>
      <c r="Q43" s="538"/>
      <c r="R43" s="538"/>
      <c r="S43" s="538"/>
      <c r="Z43" s="462"/>
      <c r="AA43" s="462"/>
      <c r="AB43" s="462"/>
    </row>
    <row r="44" spans="7:28" ht="20.100000000000001" customHeight="1" thickBot="1">
      <c r="G44" s="382" t="s">
        <v>395</v>
      </c>
      <c r="H44" s="423" t="s">
        <v>363</v>
      </c>
      <c r="I44" s="593"/>
      <c r="J44" s="542"/>
      <c r="K44" s="531">
        <f>47.612*365</f>
        <v>17378.38</v>
      </c>
      <c r="M44" s="751"/>
      <c r="N44" s="751"/>
      <c r="O44" s="751"/>
      <c r="P44" s="751"/>
      <c r="Q44" s="751"/>
      <c r="R44" s="751"/>
      <c r="S44" s="751"/>
      <c r="Z44" s="462"/>
      <c r="AA44" s="462"/>
      <c r="AB44" s="462"/>
    </row>
    <row r="45" spans="7:28" ht="30" customHeight="1" thickBot="1">
      <c r="G45" s="534" t="s">
        <v>396</v>
      </c>
      <c r="H45" s="457"/>
      <c r="I45" s="457"/>
      <c r="J45" s="457"/>
      <c r="Q45" s="594"/>
      <c r="Z45" s="462"/>
      <c r="AA45" s="462"/>
      <c r="AB45" s="462"/>
    </row>
    <row r="46" spans="7:28" ht="20.100000000000001" customHeight="1">
      <c r="G46" s="735" t="s">
        <v>163</v>
      </c>
      <c r="H46" s="736" t="s">
        <v>164</v>
      </c>
      <c r="I46" s="372" t="s">
        <v>165</v>
      </c>
      <c r="J46" s="373" t="s">
        <v>166</v>
      </c>
      <c r="K46" s="656" t="s">
        <v>167</v>
      </c>
      <c r="M46" s="401" t="s">
        <v>168</v>
      </c>
      <c r="N46" s="401" t="s">
        <v>169</v>
      </c>
      <c r="O46" s="401" t="s">
        <v>170</v>
      </c>
      <c r="P46" s="375" t="s">
        <v>168</v>
      </c>
      <c r="Q46" s="375" t="s">
        <v>166</v>
      </c>
      <c r="R46" s="375" t="s">
        <v>169</v>
      </c>
      <c r="S46" s="375" t="s">
        <v>170</v>
      </c>
      <c r="Z46" s="462"/>
      <c r="AA46" s="462"/>
      <c r="AB46" s="462"/>
    </row>
    <row r="47" spans="7:28" ht="20.100000000000001" customHeight="1">
      <c r="G47" s="444" t="s">
        <v>397</v>
      </c>
      <c r="H47" s="523"/>
      <c r="I47" s="524"/>
      <c r="J47" s="525"/>
      <c r="K47" s="502"/>
      <c r="M47" s="538"/>
      <c r="N47" s="538"/>
      <c r="O47" s="538"/>
      <c r="P47" s="538"/>
      <c r="Q47" s="538"/>
      <c r="R47" s="538"/>
      <c r="S47" s="538"/>
      <c r="Y47" s="462"/>
      <c r="Z47" s="462"/>
      <c r="AA47" s="462"/>
      <c r="AB47" s="462"/>
    </row>
    <row r="48" spans="7:28" ht="20.100000000000001" customHeight="1">
      <c r="G48" s="382" t="s">
        <v>398</v>
      </c>
      <c r="H48" s="423" t="s">
        <v>399</v>
      </c>
      <c r="I48" s="611"/>
      <c r="J48" s="610"/>
      <c r="K48" s="527">
        <v>1.5604488612130001</v>
      </c>
      <c r="M48" s="751"/>
      <c r="N48" s="751"/>
      <c r="O48" s="751"/>
      <c r="P48" s="751"/>
      <c r="Q48" s="751"/>
      <c r="R48" s="751"/>
      <c r="S48" s="751"/>
      <c r="Y48" s="462"/>
      <c r="Z48" s="462"/>
      <c r="AA48" s="462"/>
      <c r="AB48" s="462"/>
    </row>
    <row r="49" spans="2:25" ht="20.100000000000001" customHeight="1" thickBot="1">
      <c r="G49" s="382" t="s">
        <v>400</v>
      </c>
      <c r="H49" s="423" t="s">
        <v>401</v>
      </c>
      <c r="I49" s="593"/>
      <c r="J49" s="542"/>
      <c r="K49" s="527">
        <v>11850</v>
      </c>
      <c r="M49" s="751"/>
      <c r="N49" s="751"/>
      <c r="O49" s="751"/>
      <c r="P49" s="751"/>
      <c r="Q49" s="751"/>
      <c r="R49" s="751"/>
      <c r="S49" s="751"/>
      <c r="V49" s="462"/>
      <c r="W49" s="462"/>
      <c r="X49" s="462"/>
      <c r="Y49" s="462"/>
    </row>
    <row r="50" spans="2:25" ht="30" customHeight="1" thickBot="1">
      <c r="C50" s="353"/>
      <c r="D50" s="353"/>
      <c r="E50" s="353"/>
      <c r="G50" s="387" t="s">
        <v>364</v>
      </c>
      <c r="M50" s="594"/>
      <c r="N50" s="594"/>
      <c r="O50" s="594"/>
      <c r="P50" s="594"/>
      <c r="Q50" s="594"/>
      <c r="R50" s="594"/>
      <c r="S50" s="594"/>
      <c r="V50" s="462"/>
      <c r="W50" s="462"/>
      <c r="X50" s="462"/>
      <c r="Y50" s="462"/>
    </row>
    <row r="51" spans="2:25" ht="20.100000000000001" customHeight="1">
      <c r="B51" s="353"/>
      <c r="G51" s="735" t="s">
        <v>163</v>
      </c>
      <c r="H51" s="736" t="s">
        <v>164</v>
      </c>
      <c r="I51" s="372" t="s">
        <v>165</v>
      </c>
      <c r="J51" s="373" t="s">
        <v>166</v>
      </c>
      <c r="K51" s="656" t="s">
        <v>167</v>
      </c>
      <c r="M51" s="401" t="s">
        <v>168</v>
      </c>
      <c r="N51" s="401" t="s">
        <v>169</v>
      </c>
      <c r="O51" s="401" t="s">
        <v>170</v>
      </c>
      <c r="P51" s="375" t="s">
        <v>168</v>
      </c>
      <c r="Q51" s="375" t="s">
        <v>166</v>
      </c>
      <c r="R51" s="375" t="s">
        <v>169</v>
      </c>
      <c r="S51" s="375" t="s">
        <v>170</v>
      </c>
      <c r="W51" s="462"/>
      <c r="X51" s="462"/>
      <c r="Y51" s="462"/>
    </row>
    <row r="52" spans="2:25" ht="20.100000000000001" customHeight="1">
      <c r="G52" s="444" t="s">
        <v>365</v>
      </c>
      <c r="H52" s="523"/>
      <c r="I52" s="524"/>
      <c r="J52" s="525"/>
      <c r="K52" s="502"/>
      <c r="M52" s="538"/>
      <c r="N52" s="538"/>
      <c r="O52" s="538"/>
      <c r="P52" s="538"/>
      <c r="Q52" s="538"/>
      <c r="R52" s="538"/>
      <c r="S52" s="538"/>
      <c r="W52" s="462"/>
      <c r="X52" s="462"/>
      <c r="Y52" s="462"/>
    </row>
    <row r="53" spans="2:25" ht="20.100000000000001" customHeight="1">
      <c r="G53" s="382" t="s">
        <v>402</v>
      </c>
      <c r="H53" s="423" t="s">
        <v>403</v>
      </c>
      <c r="I53" s="439"/>
      <c r="J53" s="440"/>
      <c r="K53" s="531">
        <v>60</v>
      </c>
      <c r="M53" s="751"/>
      <c r="N53" s="751"/>
      <c r="O53" s="751"/>
      <c r="P53" s="751"/>
      <c r="Q53" s="751"/>
      <c r="R53" s="751"/>
      <c r="S53" s="751"/>
      <c r="W53" s="462"/>
      <c r="X53" s="462"/>
      <c r="Y53" s="462"/>
    </row>
    <row r="54" spans="2:25" ht="20.100000000000001" customHeight="1">
      <c r="G54" s="382" t="s">
        <v>404</v>
      </c>
      <c r="H54" s="423" t="s">
        <v>405</v>
      </c>
      <c r="I54" s="439"/>
      <c r="J54" s="440"/>
      <c r="K54" s="531">
        <v>2</v>
      </c>
      <c r="M54" s="751"/>
      <c r="N54" s="751"/>
      <c r="O54" s="751"/>
      <c r="P54" s="751"/>
      <c r="Q54" s="751"/>
      <c r="R54" s="751"/>
      <c r="S54" s="751"/>
      <c r="W54" s="462"/>
      <c r="X54" s="462"/>
      <c r="Y54" s="462"/>
    </row>
    <row r="55" spans="2:25" ht="20.100000000000001" customHeight="1">
      <c r="G55" s="382" t="s">
        <v>406</v>
      </c>
      <c r="H55" s="423" t="s">
        <v>407</v>
      </c>
      <c r="I55" s="439"/>
      <c r="J55" s="440"/>
      <c r="K55" s="531">
        <v>50</v>
      </c>
      <c r="M55" s="751"/>
      <c r="N55" s="751"/>
      <c r="O55" s="751"/>
      <c r="P55" s="751"/>
      <c r="Q55" s="751"/>
      <c r="R55" s="751"/>
      <c r="S55" s="751"/>
      <c r="W55" s="462"/>
      <c r="X55" s="462"/>
      <c r="Y55" s="462"/>
    </row>
    <row r="56" spans="2:25" ht="20.100000000000001" customHeight="1">
      <c r="G56" s="382" t="s">
        <v>408</v>
      </c>
      <c r="H56" s="423" t="s">
        <v>407</v>
      </c>
      <c r="I56" s="363"/>
      <c r="J56" s="366"/>
      <c r="K56" s="531">
        <v>50</v>
      </c>
      <c r="M56" s="751"/>
      <c r="N56" s="751"/>
      <c r="O56" s="751"/>
      <c r="P56" s="751"/>
      <c r="Q56" s="751"/>
      <c r="R56" s="751"/>
      <c r="S56" s="751"/>
      <c r="W56" s="462"/>
      <c r="X56" s="462"/>
      <c r="Y56" s="462"/>
    </row>
    <row r="57" spans="2:25" ht="20.100000000000001" customHeight="1">
      <c r="G57" s="382" t="s">
        <v>409</v>
      </c>
      <c r="H57" s="423" t="s">
        <v>407</v>
      </c>
      <c r="I57" s="363"/>
      <c r="J57" s="366"/>
      <c r="K57" s="531">
        <v>50</v>
      </c>
      <c r="M57" s="751"/>
      <c r="N57" s="751"/>
      <c r="O57" s="751"/>
      <c r="P57" s="751"/>
      <c r="Q57" s="751"/>
      <c r="R57" s="751"/>
      <c r="S57" s="751"/>
      <c r="W57" s="462"/>
      <c r="X57" s="462"/>
      <c r="Y57" s="462"/>
    </row>
    <row r="58" spans="2:25" ht="20.100000000000001" customHeight="1">
      <c r="G58" s="382" t="s">
        <v>410</v>
      </c>
      <c r="H58" s="423" t="s">
        <v>407</v>
      </c>
      <c r="I58" s="363"/>
      <c r="J58" s="366"/>
      <c r="K58" s="531">
        <v>50</v>
      </c>
      <c r="M58" s="605"/>
      <c r="N58" s="605"/>
      <c r="O58" s="605"/>
      <c r="P58" s="605"/>
      <c r="Q58" s="605"/>
      <c r="R58" s="605"/>
      <c r="S58" s="605"/>
      <c r="W58" s="462"/>
      <c r="X58" s="462"/>
      <c r="Y58" s="462"/>
    </row>
    <row r="59" spans="2:25" ht="20.100000000000001" customHeight="1">
      <c r="G59" s="382" t="s">
        <v>411</v>
      </c>
      <c r="H59" s="423" t="s">
        <v>412</v>
      </c>
      <c r="I59" s="363"/>
      <c r="J59" s="366"/>
      <c r="K59" s="531">
        <v>20</v>
      </c>
      <c r="M59" s="605"/>
      <c r="N59" s="605"/>
      <c r="O59" s="605"/>
      <c r="P59" s="605"/>
      <c r="Q59" s="605"/>
      <c r="R59" s="605"/>
      <c r="S59" s="605"/>
      <c r="W59" s="462"/>
      <c r="X59" s="462"/>
      <c r="Y59" s="462"/>
    </row>
    <row r="60" spans="2:25" ht="20.100000000000001" customHeight="1">
      <c r="G60" s="382" t="s">
        <v>413</v>
      </c>
      <c r="H60" s="423" t="s">
        <v>414</v>
      </c>
      <c r="I60" s="363"/>
      <c r="J60" s="366"/>
      <c r="K60" s="531"/>
      <c r="M60" s="605"/>
      <c r="N60" s="605"/>
      <c r="O60" s="605"/>
      <c r="P60" s="605"/>
      <c r="Q60" s="605"/>
      <c r="R60" s="605"/>
      <c r="S60" s="605"/>
      <c r="W60" s="462"/>
      <c r="X60" s="462"/>
      <c r="Y60" s="462"/>
    </row>
    <row r="61" spans="2:25" ht="20.100000000000001" customHeight="1">
      <c r="G61" s="382" t="s">
        <v>415</v>
      </c>
      <c r="H61" s="423" t="s">
        <v>416</v>
      </c>
      <c r="I61" s="439"/>
      <c r="J61" s="440"/>
      <c r="K61" s="531">
        <v>15</v>
      </c>
      <c r="M61" s="605"/>
      <c r="N61" s="605"/>
      <c r="O61" s="605"/>
      <c r="P61" s="605"/>
      <c r="Q61" s="605"/>
      <c r="R61" s="605"/>
      <c r="S61" s="605"/>
      <c r="W61" s="462"/>
      <c r="X61" s="462"/>
      <c r="Y61" s="462"/>
    </row>
    <row r="62" spans="2:25" ht="20.100000000000001" customHeight="1">
      <c r="G62" s="382" t="s">
        <v>417</v>
      </c>
      <c r="H62" s="423" t="s">
        <v>416</v>
      </c>
      <c r="I62" s="363"/>
      <c r="J62" s="366"/>
      <c r="K62" s="531">
        <v>15</v>
      </c>
      <c r="M62" s="605"/>
      <c r="N62" s="605"/>
      <c r="O62" s="605"/>
      <c r="P62" s="605"/>
      <c r="Q62" s="605"/>
      <c r="R62" s="605"/>
      <c r="S62" s="605"/>
      <c r="W62" s="462"/>
      <c r="X62" s="462"/>
      <c r="Y62" s="462"/>
    </row>
    <row r="63" spans="2:25" ht="20.100000000000001" customHeight="1">
      <c r="G63" s="382" t="s">
        <v>352</v>
      </c>
      <c r="H63" s="423" t="s">
        <v>418</v>
      </c>
      <c r="I63" s="439"/>
      <c r="J63" s="440"/>
      <c r="K63" s="531">
        <v>200</v>
      </c>
      <c r="M63" s="605"/>
      <c r="N63" s="605"/>
      <c r="O63" s="605"/>
      <c r="P63" s="605"/>
      <c r="Q63" s="605"/>
      <c r="R63" s="605"/>
      <c r="S63" s="605"/>
    </row>
    <row r="64" spans="2:25" ht="20.100000000000001" customHeight="1">
      <c r="G64" s="382" t="s">
        <v>353</v>
      </c>
      <c r="H64" s="423" t="s">
        <v>388</v>
      </c>
      <c r="I64" s="439"/>
      <c r="J64" s="440"/>
      <c r="K64" s="531">
        <v>200</v>
      </c>
      <c r="M64" s="605"/>
      <c r="N64" s="605"/>
      <c r="O64" s="605"/>
      <c r="P64" s="605"/>
      <c r="Q64" s="605"/>
      <c r="R64" s="605"/>
      <c r="S64" s="605"/>
    </row>
    <row r="65" spans="7:19" ht="20.100000000000001" customHeight="1" thickBot="1">
      <c r="G65" s="382" t="s">
        <v>354</v>
      </c>
      <c r="H65" s="423" t="s">
        <v>419</v>
      </c>
      <c r="I65" s="547"/>
      <c r="J65" s="440"/>
      <c r="K65" s="531">
        <v>200</v>
      </c>
      <c r="M65" s="605"/>
      <c r="N65" s="605"/>
      <c r="O65" s="605"/>
      <c r="P65" s="605"/>
      <c r="Q65" s="605"/>
      <c r="R65" s="605"/>
      <c r="S65" s="605"/>
    </row>
    <row r="66" spans="7:19" ht="30" customHeight="1" thickBot="1">
      <c r="G66" s="534" t="s">
        <v>420</v>
      </c>
      <c r="H66" s="600"/>
      <c r="I66" s="601" t="s">
        <v>392</v>
      </c>
      <c r="M66" s="600"/>
      <c r="N66" s="600"/>
      <c r="O66" s="600"/>
      <c r="P66" s="600"/>
    </row>
    <row r="67" spans="7:19" ht="20.100000000000001" customHeight="1">
      <c r="G67" s="370" t="s">
        <v>163</v>
      </c>
      <c r="H67" s="371" t="s">
        <v>164</v>
      </c>
      <c r="I67" s="372" t="s">
        <v>165</v>
      </c>
      <c r="J67" s="373" t="s">
        <v>166</v>
      </c>
      <c r="K67" s="656" t="s">
        <v>167</v>
      </c>
      <c r="M67" s="401" t="s">
        <v>168</v>
      </c>
      <c r="N67" s="401" t="s">
        <v>169</v>
      </c>
      <c r="O67" s="401" t="s">
        <v>170</v>
      </c>
      <c r="P67" s="375" t="s">
        <v>168</v>
      </c>
      <c r="Q67" s="375" t="s">
        <v>166</v>
      </c>
      <c r="R67" s="375" t="s">
        <v>169</v>
      </c>
      <c r="S67" s="375" t="s">
        <v>170</v>
      </c>
    </row>
    <row r="68" spans="7:19" ht="20.100000000000001" customHeight="1">
      <c r="G68" s="444" t="s">
        <v>345</v>
      </c>
      <c r="H68" s="523"/>
      <c r="I68" s="524"/>
      <c r="J68" s="525"/>
      <c r="K68" s="502"/>
      <c r="M68" s="538"/>
      <c r="N68" s="538"/>
      <c r="O68" s="538"/>
      <c r="P68" s="538"/>
      <c r="Q68" s="538"/>
      <c r="R68" s="538"/>
      <c r="S68" s="538"/>
    </row>
    <row r="69" spans="7:19" ht="20.100000000000001" customHeight="1">
      <c r="G69" s="449" t="s">
        <v>404</v>
      </c>
      <c r="H69" s="612"/>
      <c r="I69" s="614"/>
      <c r="J69" s="613"/>
      <c r="K69" s="740"/>
      <c r="M69" s="606"/>
      <c r="N69" s="606"/>
      <c r="O69" s="606"/>
      <c r="P69" s="606"/>
      <c r="Q69" s="606"/>
      <c r="R69" s="606"/>
      <c r="S69" s="606"/>
    </row>
    <row r="70" spans="7:19" ht="20.100000000000001" customHeight="1">
      <c r="G70" s="382" t="s">
        <v>366</v>
      </c>
      <c r="H70" s="423" t="s">
        <v>176</v>
      </c>
      <c r="I70" s="437"/>
      <c r="J70" s="542"/>
      <c r="K70" s="741">
        <v>47.95</v>
      </c>
      <c r="M70" s="751"/>
      <c r="N70" s="751"/>
      <c r="O70" s="751"/>
      <c r="P70" s="751"/>
      <c r="Q70" s="751"/>
      <c r="R70" s="751"/>
      <c r="S70" s="751"/>
    </row>
    <row r="71" spans="7:19" ht="20.100000000000001" customHeight="1">
      <c r="G71" s="382" t="s">
        <v>368</v>
      </c>
      <c r="H71" s="423" t="s">
        <v>176</v>
      </c>
      <c r="I71" s="437"/>
      <c r="J71" s="542"/>
      <c r="K71" s="741">
        <v>50.6</v>
      </c>
      <c r="M71" s="751"/>
      <c r="N71" s="751"/>
      <c r="O71" s="751"/>
      <c r="P71" s="751"/>
      <c r="Q71" s="751"/>
      <c r="R71" s="751"/>
      <c r="S71" s="751"/>
    </row>
    <row r="72" spans="7:19" ht="20.100000000000001" customHeight="1">
      <c r="G72" s="382" t="s">
        <v>370</v>
      </c>
      <c r="H72" s="423" t="s">
        <v>176</v>
      </c>
      <c r="I72" s="437"/>
      <c r="J72" s="542"/>
      <c r="K72" s="741">
        <v>0.10236287639682701</v>
      </c>
      <c r="M72" s="605"/>
      <c r="N72" s="605"/>
      <c r="O72" s="605"/>
      <c r="P72" s="605"/>
      <c r="Q72" s="605"/>
      <c r="R72" s="605"/>
      <c r="S72" s="605"/>
    </row>
    <row r="73" spans="7:19" ht="20.100000000000001" customHeight="1">
      <c r="G73" s="382" t="s">
        <v>421</v>
      </c>
      <c r="H73" s="423" t="s">
        <v>176</v>
      </c>
      <c r="I73" s="437"/>
      <c r="J73" s="542"/>
      <c r="K73" s="741">
        <v>1.1004009212658898</v>
      </c>
      <c r="M73" s="605"/>
      <c r="N73" s="605"/>
      <c r="O73" s="605"/>
      <c r="P73" s="605"/>
      <c r="Q73" s="605"/>
      <c r="R73" s="605"/>
      <c r="S73" s="605"/>
    </row>
    <row r="74" spans="7:19" ht="20.100000000000001" customHeight="1">
      <c r="G74" s="382" t="s">
        <v>422</v>
      </c>
      <c r="H74" s="423" t="s">
        <v>176</v>
      </c>
      <c r="I74" s="615">
        <f>100-SUM(I70:I73)</f>
        <v>100</v>
      </c>
      <c r="J74" s="865">
        <f>100-SUM(J70:J73)</f>
        <v>100</v>
      </c>
      <c r="K74" s="864">
        <f>100-SUM(K70:K73)</f>
        <v>0.24723620233727672</v>
      </c>
      <c r="M74" s="605"/>
      <c r="N74" s="605"/>
      <c r="O74" s="605"/>
      <c r="P74" s="605"/>
      <c r="Q74" s="605"/>
      <c r="R74" s="605"/>
      <c r="S74" s="605"/>
    </row>
    <row r="75" spans="7:19" ht="20.100000000000001" customHeight="1">
      <c r="G75" s="449" t="s">
        <v>423</v>
      </c>
      <c r="H75" s="612"/>
      <c r="I75" s="614"/>
      <c r="J75" s="613"/>
      <c r="K75" s="740"/>
      <c r="M75" s="606"/>
      <c r="N75" s="606"/>
      <c r="O75" s="606"/>
      <c r="P75" s="606"/>
      <c r="Q75" s="606"/>
      <c r="R75" s="606"/>
      <c r="S75" s="606"/>
    </row>
    <row r="76" spans="7:19" ht="20.100000000000001" customHeight="1">
      <c r="G76" s="382" t="s">
        <v>402</v>
      </c>
      <c r="H76" s="423" t="s">
        <v>176</v>
      </c>
      <c r="I76" s="437"/>
      <c r="J76" s="542"/>
      <c r="K76" s="531">
        <v>0</v>
      </c>
      <c r="M76" s="605"/>
      <c r="N76" s="605"/>
      <c r="O76" s="605"/>
      <c r="P76" s="605"/>
      <c r="Q76" s="605"/>
      <c r="R76" s="605"/>
      <c r="S76" s="605"/>
    </row>
    <row r="77" spans="7:19" ht="20.100000000000001" customHeight="1">
      <c r="G77" s="382" t="s">
        <v>406</v>
      </c>
      <c r="H77" s="423" t="s">
        <v>176</v>
      </c>
      <c r="I77" s="437"/>
      <c r="J77" s="542"/>
      <c r="K77" s="531">
        <v>22</v>
      </c>
      <c r="M77" s="605"/>
      <c r="N77" s="605"/>
      <c r="O77" s="605"/>
      <c r="P77" s="605"/>
      <c r="Q77" s="605"/>
      <c r="R77" s="605"/>
      <c r="S77" s="605"/>
    </row>
    <row r="78" spans="7:19" ht="20.100000000000001" customHeight="1">
      <c r="G78" s="382" t="s">
        <v>408</v>
      </c>
      <c r="H78" s="423" t="s">
        <v>176</v>
      </c>
      <c r="I78" s="437"/>
      <c r="J78" s="542"/>
      <c r="K78" s="531">
        <v>0</v>
      </c>
      <c r="M78" s="605"/>
      <c r="N78" s="605"/>
      <c r="O78" s="605"/>
      <c r="P78" s="605"/>
      <c r="Q78" s="605"/>
      <c r="R78" s="605"/>
      <c r="S78" s="605"/>
    </row>
    <row r="79" spans="7:19" ht="20.100000000000001" customHeight="1">
      <c r="G79" s="382" t="s">
        <v>409</v>
      </c>
      <c r="H79" s="423" t="s">
        <v>176</v>
      </c>
      <c r="I79" s="437"/>
      <c r="J79" s="542"/>
      <c r="K79" s="531">
        <v>0</v>
      </c>
      <c r="M79" s="605"/>
      <c r="N79" s="605"/>
      <c r="O79" s="605"/>
      <c r="P79" s="605"/>
      <c r="Q79" s="605"/>
      <c r="R79" s="605"/>
      <c r="S79" s="605"/>
    </row>
    <row r="80" spans="7:19" ht="20.100000000000001" customHeight="1">
      <c r="G80" s="382" t="s">
        <v>410</v>
      </c>
      <c r="H80" s="423" t="s">
        <v>176</v>
      </c>
      <c r="I80" s="437"/>
      <c r="J80" s="542"/>
      <c r="K80" s="531">
        <v>0</v>
      </c>
      <c r="M80" s="605"/>
      <c r="N80" s="605"/>
      <c r="O80" s="605"/>
      <c r="P80" s="605"/>
      <c r="Q80" s="605"/>
      <c r="R80" s="605"/>
      <c r="S80" s="605"/>
    </row>
    <row r="81" spans="7:19" ht="20.100000000000001" customHeight="1">
      <c r="G81" s="382" t="s">
        <v>411</v>
      </c>
      <c r="H81" s="423" t="s">
        <v>176</v>
      </c>
      <c r="I81" s="437"/>
      <c r="J81" s="542"/>
      <c r="K81" s="531">
        <v>0</v>
      </c>
      <c r="M81" s="605"/>
      <c r="N81" s="605"/>
      <c r="O81" s="605"/>
      <c r="P81" s="605"/>
      <c r="Q81" s="605"/>
      <c r="R81" s="605"/>
      <c r="S81" s="605"/>
    </row>
    <row r="82" spans="7:19" ht="20.100000000000001" customHeight="1">
      <c r="G82" s="382" t="s">
        <v>413</v>
      </c>
      <c r="H82" s="423" t="s">
        <v>176</v>
      </c>
      <c r="I82" s="437"/>
      <c r="J82" s="542"/>
      <c r="K82" s="531">
        <v>0</v>
      </c>
      <c r="M82" s="533"/>
      <c r="N82" s="533"/>
      <c r="O82" s="533"/>
      <c r="P82" s="533"/>
      <c r="Q82" s="533"/>
      <c r="R82" s="533"/>
      <c r="S82" s="533"/>
    </row>
    <row r="83" spans="7:19" ht="20.100000000000001" customHeight="1">
      <c r="G83" s="382" t="s">
        <v>415</v>
      </c>
      <c r="H83" s="423" t="s">
        <v>176</v>
      </c>
      <c r="I83" s="437"/>
      <c r="J83" s="542"/>
      <c r="K83" s="531">
        <v>0</v>
      </c>
      <c r="M83" s="533"/>
      <c r="N83" s="533"/>
      <c r="O83" s="533"/>
      <c r="P83" s="533"/>
      <c r="Q83" s="533"/>
      <c r="R83" s="533"/>
      <c r="S83" s="533"/>
    </row>
    <row r="84" spans="7:19" ht="20.100000000000001" customHeight="1">
      <c r="G84" s="382" t="s">
        <v>417</v>
      </c>
      <c r="H84" s="423" t="s">
        <v>176</v>
      </c>
      <c r="I84" s="437"/>
      <c r="J84" s="542"/>
      <c r="K84" s="531">
        <v>0</v>
      </c>
      <c r="M84" s="533"/>
      <c r="N84" s="533"/>
      <c r="O84" s="533"/>
      <c r="P84" s="533"/>
      <c r="Q84" s="533"/>
      <c r="R84" s="533"/>
      <c r="S84" s="533"/>
    </row>
    <row r="85" spans="7:19" ht="20.100000000000001" customHeight="1">
      <c r="G85" s="382" t="s">
        <v>352</v>
      </c>
      <c r="H85" s="423" t="s">
        <v>176</v>
      </c>
      <c r="I85" s="437"/>
      <c r="J85" s="542"/>
      <c r="K85" s="531">
        <v>0</v>
      </c>
      <c r="M85" s="533"/>
      <c r="N85" s="533"/>
      <c r="O85" s="533"/>
      <c r="P85" s="533"/>
      <c r="Q85" s="533"/>
      <c r="R85" s="533"/>
      <c r="S85" s="533"/>
    </row>
    <row r="86" spans="7:19" ht="20.100000000000001" customHeight="1">
      <c r="G86" s="382" t="s">
        <v>353</v>
      </c>
      <c r="H86" s="423" t="s">
        <v>176</v>
      </c>
      <c r="I86" s="437"/>
      <c r="J86" s="542"/>
      <c r="K86" s="531">
        <v>78</v>
      </c>
      <c r="M86" s="533"/>
      <c r="N86" s="533"/>
      <c r="O86" s="533"/>
      <c r="P86" s="533"/>
      <c r="Q86" s="533"/>
      <c r="R86" s="533"/>
      <c r="S86" s="533"/>
    </row>
    <row r="87" spans="7:19" ht="20.100000000000001" customHeight="1" thickBot="1">
      <c r="G87" s="382" t="s">
        <v>354</v>
      </c>
      <c r="H87" s="423" t="s">
        <v>176</v>
      </c>
      <c r="I87" s="593"/>
      <c r="J87" s="542"/>
      <c r="K87" s="531">
        <f>100-SUM(K76:K86)</f>
        <v>0</v>
      </c>
      <c r="M87" s="533"/>
      <c r="N87" s="533"/>
      <c r="O87" s="533"/>
      <c r="P87" s="533"/>
      <c r="Q87" s="533"/>
      <c r="R87" s="533"/>
      <c r="S87" s="533"/>
    </row>
    <row r="88" spans="7:19" ht="20.100000000000001" customHeight="1"/>
  </sheetData>
  <mergeCells count="1">
    <mergeCell ref="C4:D5"/>
  </mergeCells>
  <phoneticPr fontId="65" type="noConversion"/>
  <dataValidations disablePrompts="1" count="1">
    <dataValidation type="decimal" operator="greaterThanOrEqual" allowBlank="1" showInputMessage="1" showErrorMessage="1" errorTitle="Error" error="Negative number is not allowed" sqref="I53:J55 I63:J65 I61:J61" xr:uid="{00000000-0002-0000-05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C2F87-52AD-4A8F-A1FB-3AD15A87E3F4}">
  <dimension ref="A1:R93"/>
  <sheetViews>
    <sheetView zoomScale="85" zoomScaleNormal="85" workbookViewId="0">
      <selection activeCell="M29" sqref="M29"/>
    </sheetView>
  </sheetViews>
  <sheetFormatPr defaultColWidth="11.42578125" defaultRowHeight="13.15"/>
  <cols>
    <col min="1" max="1" width="8.7109375" style="303" customWidth="1"/>
    <col min="2" max="2" width="12.5703125" style="303" customWidth="1"/>
    <col min="3" max="10" width="8.7109375" style="303" customWidth="1"/>
    <col min="11" max="16384" width="11.42578125" style="303"/>
  </cols>
  <sheetData>
    <row r="1" spans="1:18">
      <c r="A1" s="350" t="s">
        <v>424</v>
      </c>
      <c r="B1" s="351"/>
      <c r="C1" s="351"/>
      <c r="D1" s="351" t="s">
        <v>425</v>
      </c>
      <c r="E1" s="351"/>
      <c r="F1" s="351"/>
      <c r="G1" s="300"/>
      <c r="H1" s="300"/>
      <c r="I1" s="300"/>
      <c r="J1" s="300"/>
      <c r="K1" s="300"/>
      <c r="L1" s="301"/>
      <c r="M1" s="301"/>
      <c r="N1" s="301"/>
      <c r="O1" s="301"/>
      <c r="P1" s="301"/>
      <c r="Q1" s="301"/>
      <c r="R1" s="302"/>
    </row>
    <row r="2" spans="1:18" ht="13.9">
      <c r="A2" s="351"/>
      <c r="B2" s="352" t="s">
        <v>426</v>
      </c>
      <c r="C2" s="351" t="s">
        <v>427</v>
      </c>
      <c r="D2" s="302"/>
      <c r="E2" s="351">
        <f>B5</f>
        <v>0.94786729857819907</v>
      </c>
      <c r="F2" s="351" t="s">
        <v>428</v>
      </c>
      <c r="G2" s="304"/>
      <c r="H2" s="300"/>
      <c r="I2" s="300"/>
      <c r="J2" s="300"/>
      <c r="K2" s="300"/>
      <c r="L2" s="301"/>
      <c r="M2" s="301"/>
      <c r="N2" s="301"/>
      <c r="O2" s="301"/>
      <c r="P2" s="301"/>
      <c r="Q2" s="301"/>
      <c r="R2" s="302"/>
    </row>
    <row r="3" spans="1:18" ht="13.9">
      <c r="A3" s="351" t="s">
        <v>429</v>
      </c>
      <c r="B3" s="347" t="s">
        <v>428</v>
      </c>
      <c r="C3" s="347" t="s">
        <v>430</v>
      </c>
      <c r="D3" s="347" t="s">
        <v>431</v>
      </c>
      <c r="E3" s="347" t="s">
        <v>432</v>
      </c>
      <c r="F3" s="347" t="s">
        <v>433</v>
      </c>
      <c r="G3" s="347" t="s">
        <v>434</v>
      </c>
      <c r="H3" s="347" t="s">
        <v>435</v>
      </c>
      <c r="I3" s="347" t="s">
        <v>436</v>
      </c>
      <c r="J3" s="347" t="s">
        <v>437</v>
      </c>
      <c r="K3" s="347" t="s">
        <v>438</v>
      </c>
      <c r="L3" s="347" t="s">
        <v>439</v>
      </c>
      <c r="M3" s="347" t="s">
        <v>440</v>
      </c>
      <c r="N3" s="347" t="s">
        <v>441</v>
      </c>
      <c r="O3" s="347" t="s">
        <v>442</v>
      </c>
      <c r="P3" s="347" t="s">
        <v>443</v>
      </c>
      <c r="Q3" s="347" t="s">
        <v>444</v>
      </c>
      <c r="R3" s="347" t="s">
        <v>445</v>
      </c>
    </row>
    <row r="4" spans="1:18" ht="13.9">
      <c r="A4" s="348" t="s">
        <v>428</v>
      </c>
      <c r="B4" s="305">
        <v>1</v>
      </c>
      <c r="C4" s="306">
        <f>F4/F20*C20</f>
        <v>1.0549999999999999</v>
      </c>
      <c r="D4" s="306">
        <f>1/B6</f>
        <v>3.5997488706001171E-5</v>
      </c>
      <c r="E4" s="306">
        <f>1/B7</f>
        <v>2.8316846592000004E-2</v>
      </c>
      <c r="F4" s="304">
        <v>1000</v>
      </c>
      <c r="G4" s="306">
        <f>$F4/$F6*G6</f>
        <v>2.5198242094200818E-5</v>
      </c>
      <c r="H4" s="306">
        <f>$F4/$F6*H6</f>
        <v>1.8470311455049204E-4</v>
      </c>
      <c r="I4" s="306">
        <f>+J4*8760</f>
        <v>0.29305555555555562</v>
      </c>
      <c r="J4" s="306">
        <f>$F4/$F6*J6</f>
        <v>3.3453830542871646E-5</v>
      </c>
      <c r="K4" s="306">
        <f>$F4/$F6*K6</f>
        <v>251.98242094200819</v>
      </c>
      <c r="L4" s="306">
        <f>$F4/$F6*L6</f>
        <v>1.0550000000000001E-6</v>
      </c>
      <c r="M4" s="306">
        <f t="shared" ref="M4:M14" si="0">K4/10^6</f>
        <v>2.5198242094200818E-4</v>
      </c>
      <c r="N4" s="306">
        <f t="shared" ref="N4:N15" si="1">G4/10^6</f>
        <v>2.5198242094200818E-11</v>
      </c>
      <c r="O4" s="306">
        <f t="shared" ref="O4:O16" si="2">F4/10^6</f>
        <v>1E-3</v>
      </c>
      <c r="P4" s="306">
        <f>Q4/Q$19*P$19</f>
        <v>2.930555555555556E-7</v>
      </c>
      <c r="Q4" s="306">
        <f t="shared" ref="Q4:Q10" si="3">J4/1000000</f>
        <v>3.3453830542871643E-11</v>
      </c>
      <c r="R4" s="306">
        <f t="shared" ref="R4:R10" si="4">C4*10^(-9)</f>
        <v>1.055E-9</v>
      </c>
    </row>
    <row r="5" spans="1:18" ht="13.9">
      <c r="A5" s="348" t="s">
        <v>430</v>
      </c>
      <c r="B5" s="306">
        <f>1/C4</f>
        <v>0.94786729857819907</v>
      </c>
      <c r="C5" s="305">
        <v>1</v>
      </c>
      <c r="D5" s="306">
        <f>1/C6</f>
        <v>3.4120842375356554E-5</v>
      </c>
      <c r="E5" s="306">
        <f>1/C7</f>
        <v>2.6840612883412329E-2</v>
      </c>
      <c r="F5" s="306">
        <f>1/C8</f>
        <v>947.8672985781991</v>
      </c>
      <c r="G5" s="306">
        <f>1/C9</f>
        <v>2.3884589662749594E-5</v>
      </c>
      <c r="H5" s="306">
        <f>G5/G9*H9</f>
        <v>1.7507404222795453E-4</v>
      </c>
      <c r="I5" s="306">
        <f t="shared" ref="I5:I20" si="5">+J5*8760</f>
        <v>0.27777777777777779</v>
      </c>
      <c r="J5" s="306">
        <f>1/C12</f>
        <v>3.1709791983764585E-5</v>
      </c>
      <c r="K5" s="306">
        <f>G5*10^7</f>
        <v>238.84589662749593</v>
      </c>
      <c r="L5" s="306">
        <f>C5/1000000</f>
        <v>9.9999999999999995E-7</v>
      </c>
      <c r="M5" s="306">
        <f t="shared" si="0"/>
        <v>2.3884589662749594E-4</v>
      </c>
      <c r="N5" s="306">
        <f t="shared" si="1"/>
        <v>2.3884589662749594E-11</v>
      </c>
      <c r="O5" s="306">
        <f t="shared" si="2"/>
        <v>9.4786729857819908E-4</v>
      </c>
      <c r="P5" s="306">
        <f>1/C18</f>
        <v>2.7777777777777776E-7</v>
      </c>
      <c r="Q5" s="306">
        <f t="shared" si="3"/>
        <v>3.1709791983764586E-11</v>
      </c>
      <c r="R5" s="306">
        <f t="shared" si="4"/>
        <v>1.0000000000000001E-9</v>
      </c>
    </row>
    <row r="6" spans="1:18" ht="13.9">
      <c r="A6" s="348" t="s">
        <v>431</v>
      </c>
      <c r="B6" s="306">
        <f>G6/G7*B7</f>
        <v>27779.715639810427</v>
      </c>
      <c r="C6" s="306">
        <f>$K6/$K9*C9</f>
        <v>29307.600000000006</v>
      </c>
      <c r="D6" s="305">
        <v>1</v>
      </c>
      <c r="E6" s="306">
        <f>$K6/$K9*E9</f>
        <v>786.63394614189531</v>
      </c>
      <c r="F6" s="306">
        <f>$K6/$K9*F9</f>
        <v>27779715.639810428</v>
      </c>
      <c r="G6" s="304">
        <v>0.7</v>
      </c>
      <c r="H6" s="306">
        <f>$K6/$K9*H9</f>
        <v>5.1310000000000011</v>
      </c>
      <c r="I6" s="306">
        <f t="shared" si="5"/>
        <v>8141.0000000000018</v>
      </c>
      <c r="J6" s="306">
        <f>$K6/$K9*J9</f>
        <v>0.9293378995433792</v>
      </c>
      <c r="K6" s="306">
        <f>G6*10^7</f>
        <v>7000000</v>
      </c>
      <c r="L6" s="306">
        <f>C6/1000000</f>
        <v>2.9307600000000007E-2</v>
      </c>
      <c r="M6" s="306">
        <f t="shared" si="0"/>
        <v>7</v>
      </c>
      <c r="N6" s="306">
        <f t="shared" si="1"/>
        <v>6.9999999999999997E-7</v>
      </c>
      <c r="O6" s="306">
        <f t="shared" si="2"/>
        <v>27.779715639810426</v>
      </c>
      <c r="P6" s="306">
        <f>Q6/Q$19*P$19</f>
        <v>8.1410000000000024E-3</v>
      </c>
      <c r="Q6" s="306">
        <f t="shared" si="3"/>
        <v>9.2933789954337924E-7</v>
      </c>
      <c r="R6" s="306">
        <f t="shared" si="4"/>
        <v>2.9307600000000007E-5</v>
      </c>
    </row>
    <row r="7" spans="1:18" ht="13.9">
      <c r="A7" s="348" t="s">
        <v>446</v>
      </c>
      <c r="B7" s="304">
        <f>1/0.3048^3</f>
        <v>35.314666721488585</v>
      </c>
      <c r="C7" s="306">
        <f>B7/B4*C4</f>
        <v>37.256973391170455</v>
      </c>
      <c r="D7" s="306">
        <f>1/E6</f>
        <v>1.2712393164629806E-3</v>
      </c>
      <c r="E7" s="305">
        <v>1</v>
      </c>
      <c r="F7" s="306">
        <f>G7/G8*F8</f>
        <v>35314.666721488582</v>
      </c>
      <c r="G7" s="307">
        <f>C7/C9*G9</f>
        <v>8.8986752152408653E-4</v>
      </c>
      <c r="H7" s="306">
        <f>H9*G7</f>
        <v>6.5227289327715546E-3</v>
      </c>
      <c r="I7" s="306">
        <f t="shared" si="5"/>
        <v>10.349159275325126</v>
      </c>
      <c r="J7" s="306">
        <f>C7/C5*J5</f>
        <v>1.1814108761786673E-3</v>
      </c>
      <c r="K7" s="306">
        <f>G7*10^7</f>
        <v>8898.6752152408644</v>
      </c>
      <c r="L7" s="306">
        <f>C7/1000000</f>
        <v>3.7256973391170452E-5</v>
      </c>
      <c r="M7" s="306">
        <f t="shared" si="0"/>
        <v>8.898675215240865E-3</v>
      </c>
      <c r="N7" s="306">
        <f t="shared" si="1"/>
        <v>8.8986752152408655E-10</v>
      </c>
      <c r="O7" s="306">
        <f t="shared" si="2"/>
        <v>3.5314666721488579E-2</v>
      </c>
      <c r="P7" s="306">
        <f>Q7/Q$19*P$19</f>
        <v>1.0349159275325126E-5</v>
      </c>
      <c r="Q7" s="306">
        <f t="shared" si="3"/>
        <v>1.1814108761786673E-9</v>
      </c>
      <c r="R7" s="306">
        <f t="shared" si="4"/>
        <v>3.7256973391170458E-8</v>
      </c>
    </row>
    <row r="8" spans="1:18" ht="13.9">
      <c r="A8" s="348" t="s">
        <v>433</v>
      </c>
      <c r="B8" s="306">
        <f>1/F4</f>
        <v>1E-3</v>
      </c>
      <c r="C8" s="304">
        <f>1.055/10^3</f>
        <v>1.0549999999999999E-3</v>
      </c>
      <c r="D8" s="306">
        <f>1/F6</f>
        <v>3.5997488706001172E-8</v>
      </c>
      <c r="E8" s="306">
        <f>1/F7</f>
        <v>2.8316846592000006E-5</v>
      </c>
      <c r="F8" s="305">
        <v>1</v>
      </c>
      <c r="G8" s="306">
        <f>B8/B7*G7</f>
        <v>2.5198242094200823E-8</v>
      </c>
      <c r="H8" s="306">
        <f>G8*H9</f>
        <v>1.8470311455049203E-7</v>
      </c>
      <c r="I8" s="306">
        <f t="shared" si="5"/>
        <v>2.9305555555555552E-4</v>
      </c>
      <c r="J8" s="306">
        <f>G8/G9*J9</f>
        <v>3.3453830542871636E-8</v>
      </c>
      <c r="K8" s="306">
        <f>G8*10^7</f>
        <v>0.25198242094200823</v>
      </c>
      <c r="L8" s="306">
        <f>C8/1000000</f>
        <v>1.055E-9</v>
      </c>
      <c r="M8" s="306">
        <f t="shared" si="0"/>
        <v>2.5198242094200821E-7</v>
      </c>
      <c r="N8" s="306">
        <f t="shared" si="1"/>
        <v>2.5198242094200822E-14</v>
      </c>
      <c r="O8" s="306">
        <f t="shared" si="2"/>
        <v>9.9999999999999995E-7</v>
      </c>
      <c r="P8" s="306">
        <f>Q8/Q$19*P$19</f>
        <v>2.9305555555555556E-10</v>
      </c>
      <c r="Q8" s="306">
        <f t="shared" si="3"/>
        <v>3.3453830542871637E-14</v>
      </c>
      <c r="R8" s="306">
        <f t="shared" si="4"/>
        <v>1.055E-12</v>
      </c>
    </row>
    <row r="9" spans="1:18" ht="13.9">
      <c r="A9" s="348" t="s">
        <v>434</v>
      </c>
      <c r="B9" s="306">
        <f>$G9/$G7*B7</f>
        <v>39685.30805687204</v>
      </c>
      <c r="C9" s="304">
        <v>41868</v>
      </c>
      <c r="D9" s="306">
        <f>1/G6</f>
        <v>1.4285714285714286</v>
      </c>
      <c r="E9" s="306">
        <f>1/G7</f>
        <v>1123.7627802027073</v>
      </c>
      <c r="F9" s="306">
        <f>1/G8</f>
        <v>39685308.056872033</v>
      </c>
      <c r="G9" s="305">
        <v>1</v>
      </c>
      <c r="H9" s="304">
        <v>7.33</v>
      </c>
      <c r="I9" s="306">
        <f t="shared" si="5"/>
        <v>11630</v>
      </c>
      <c r="J9" s="306">
        <f>$G9/$G7*J7</f>
        <v>1.3276255707762556</v>
      </c>
      <c r="K9" s="306">
        <f>$G9/$G7*K7</f>
        <v>9999999.9999999981</v>
      </c>
      <c r="L9" s="306">
        <f>$G9/$G7*L7</f>
        <v>4.1867999999999995E-2</v>
      </c>
      <c r="M9" s="306">
        <f t="shared" si="0"/>
        <v>9.9999999999999982</v>
      </c>
      <c r="N9" s="306">
        <f t="shared" si="1"/>
        <v>9.9999999999999995E-7</v>
      </c>
      <c r="O9" s="306">
        <f t="shared" si="2"/>
        <v>39.685308056872032</v>
      </c>
      <c r="P9" s="306">
        <f>Q9/Q$19*P$19</f>
        <v>1.163E-2</v>
      </c>
      <c r="Q9" s="306">
        <f t="shared" si="3"/>
        <v>1.3276255707762557E-6</v>
      </c>
      <c r="R9" s="306">
        <f t="shared" si="4"/>
        <v>4.1868E-5</v>
      </c>
    </row>
    <row r="10" spans="1:18" ht="13.9">
      <c r="A10" s="348" t="s">
        <v>435</v>
      </c>
      <c r="B10" s="306">
        <f>1/H4</f>
        <v>5414.0938686046429</v>
      </c>
      <c r="C10" s="306">
        <f>1/H5</f>
        <v>5711.8690313778989</v>
      </c>
      <c r="D10" s="306">
        <f>1/H6</f>
        <v>0.19489378288832582</v>
      </c>
      <c r="E10" s="306">
        <f>1/H7</f>
        <v>153.31006551196552</v>
      </c>
      <c r="F10" s="306">
        <f>1/H8</f>
        <v>5414093.8686046433</v>
      </c>
      <c r="G10" s="306">
        <f>1/H9</f>
        <v>0.13642564802182811</v>
      </c>
      <c r="H10" s="305">
        <v>1</v>
      </c>
      <c r="I10" s="306">
        <f t="shared" si="5"/>
        <v>1586.6302864938609</v>
      </c>
      <c r="J10" s="306">
        <f>J9/$H9*$H10</f>
        <v>0.1811221788235001</v>
      </c>
      <c r="K10" s="306">
        <f>G10*10^7</f>
        <v>1364256.480218281</v>
      </c>
      <c r="L10" s="306">
        <f>C10/1000000</f>
        <v>5.711869031377899E-3</v>
      </c>
      <c r="M10" s="306">
        <f t="shared" si="0"/>
        <v>1.3642564802182811</v>
      </c>
      <c r="N10" s="306">
        <f t="shared" si="1"/>
        <v>1.3642564802182809E-7</v>
      </c>
      <c r="O10" s="306">
        <f t="shared" si="2"/>
        <v>5.4140938686046436</v>
      </c>
      <c r="P10" s="306">
        <f>Q10/Q$19*P$19</f>
        <v>1.5866302864938609E-3</v>
      </c>
      <c r="Q10" s="306">
        <f t="shared" si="3"/>
        <v>1.811221788235001E-7</v>
      </c>
      <c r="R10" s="306">
        <f t="shared" si="4"/>
        <v>5.711869031377899E-6</v>
      </c>
    </row>
    <row r="11" spans="1:18" ht="13.9">
      <c r="A11" s="348" t="s">
        <v>436</v>
      </c>
      <c r="B11" s="306">
        <f>+B12/8760</f>
        <v>3.4123222748815158</v>
      </c>
      <c r="C11" s="306">
        <f t="shared" ref="C11:R11" si="6">+C12/8760</f>
        <v>3.6</v>
      </c>
      <c r="D11" s="306">
        <f t="shared" si="6"/>
        <v>1.2283503255128359E-4</v>
      </c>
      <c r="E11" s="306">
        <f t="shared" si="6"/>
        <v>9.6626206380284393E-2</v>
      </c>
      <c r="F11" s="306">
        <f t="shared" si="6"/>
        <v>3412.3222748815165</v>
      </c>
      <c r="G11" s="306">
        <f t="shared" si="6"/>
        <v>8.5984522785898537E-5</v>
      </c>
      <c r="H11" s="306">
        <f t="shared" si="6"/>
        <v>6.3026655202063622E-4</v>
      </c>
      <c r="I11" s="305">
        <v>1</v>
      </c>
      <c r="J11" s="306">
        <f t="shared" si="6"/>
        <v>1.1415525114155251E-4</v>
      </c>
      <c r="K11" s="306">
        <f t="shared" si="6"/>
        <v>859.84522785898537</v>
      </c>
      <c r="L11" s="306">
        <f t="shared" si="6"/>
        <v>3.6000000000000003E-6</v>
      </c>
      <c r="M11" s="306">
        <f t="shared" si="6"/>
        <v>8.5984522785898529E-4</v>
      </c>
      <c r="N11" s="306">
        <f t="shared" si="6"/>
        <v>8.5984522785898545E-11</v>
      </c>
      <c r="O11" s="306">
        <f t="shared" si="6"/>
        <v>3.4123222748815162E-3</v>
      </c>
      <c r="P11" s="306">
        <f t="shared" si="6"/>
        <v>9.9999999999999995E-7</v>
      </c>
      <c r="Q11" s="306">
        <f t="shared" si="6"/>
        <v>1.1415525114155251E-10</v>
      </c>
      <c r="R11" s="306">
        <f t="shared" si="6"/>
        <v>3.5999999999999996E-9</v>
      </c>
    </row>
    <row r="12" spans="1:18" ht="13.9">
      <c r="A12" s="349" t="s">
        <v>437</v>
      </c>
      <c r="B12" s="306">
        <f>1/J4</f>
        <v>29891.94312796208</v>
      </c>
      <c r="C12" s="306">
        <f>$H12/$H9*C9</f>
        <v>31536</v>
      </c>
      <c r="D12" s="306">
        <f>1/J6</f>
        <v>1.0760348851492443</v>
      </c>
      <c r="E12" s="308">
        <f>1/J7</f>
        <v>846.44556789129126</v>
      </c>
      <c r="F12" s="306">
        <f>F4/R4*R12</f>
        <v>29891943.127962083</v>
      </c>
      <c r="G12" s="308">
        <f>$H12/$H9*G9</f>
        <v>0.75322441960447117</v>
      </c>
      <c r="H12" s="308">
        <f>F12/F10*H10</f>
        <v>5.5211349957007734</v>
      </c>
      <c r="I12" s="306">
        <f t="shared" si="5"/>
        <v>8760</v>
      </c>
      <c r="J12" s="305">
        <v>1</v>
      </c>
      <c r="K12" s="306">
        <f>G12*10^7</f>
        <v>7532244.1960447114</v>
      </c>
      <c r="L12" s="306">
        <f>C12/1000000</f>
        <v>3.1536000000000002E-2</v>
      </c>
      <c r="M12" s="306">
        <f t="shared" si="0"/>
        <v>7.5322441960447115</v>
      </c>
      <c r="N12" s="306">
        <f t="shared" si="1"/>
        <v>7.532244196044712E-7</v>
      </c>
      <c r="O12" s="306">
        <f t="shared" si="2"/>
        <v>29.891943127962083</v>
      </c>
      <c r="P12" s="306">
        <f>P19/10^6</f>
        <v>8.7600000000000004E-3</v>
      </c>
      <c r="Q12" s="306">
        <f>Q19/10^6</f>
        <v>9.9999999999999995E-7</v>
      </c>
      <c r="R12" s="306">
        <f>R20/Q20*Q12</f>
        <v>3.1535999999999998E-5</v>
      </c>
    </row>
    <row r="13" spans="1:18" ht="13.9">
      <c r="A13" s="348" t="s">
        <v>438</v>
      </c>
      <c r="B13" s="306">
        <f t="shared" ref="B13:J13" si="7">B9*10^(-7)</f>
        <v>3.9685308056872041E-3</v>
      </c>
      <c r="C13" s="306">
        <f t="shared" si="7"/>
        <v>4.1868000000000001E-3</v>
      </c>
      <c r="D13" s="306">
        <f t="shared" si="7"/>
        <v>1.4285714285714285E-7</v>
      </c>
      <c r="E13" s="306">
        <f t="shared" si="7"/>
        <v>1.1237627802027073E-4</v>
      </c>
      <c r="F13" s="306">
        <f t="shared" si="7"/>
        <v>3.9685308056872031</v>
      </c>
      <c r="G13" s="306">
        <f t="shared" si="7"/>
        <v>9.9999999999999995E-8</v>
      </c>
      <c r="H13" s="306">
        <f t="shared" si="7"/>
        <v>7.3300000000000001E-7</v>
      </c>
      <c r="I13" s="306">
        <f t="shared" si="5"/>
        <v>1.163E-3</v>
      </c>
      <c r="J13" s="306">
        <f t="shared" si="7"/>
        <v>1.3276255707762556E-7</v>
      </c>
      <c r="K13" s="305">
        <v>1</v>
      </c>
      <c r="L13" s="306">
        <f>L9*10^(-7)</f>
        <v>4.1867999999999996E-9</v>
      </c>
      <c r="M13" s="306">
        <f t="shared" si="0"/>
        <v>9.9999999999999995E-7</v>
      </c>
      <c r="N13" s="306">
        <f t="shared" si="1"/>
        <v>9.999999999999999E-14</v>
      </c>
      <c r="O13" s="306">
        <f t="shared" si="2"/>
        <v>3.9685308056872029E-6</v>
      </c>
      <c r="P13" s="306">
        <f>Q13/Q$19*P$19</f>
        <v>1.163E-9</v>
      </c>
      <c r="Q13" s="306">
        <f>Q9*10^(-7)</f>
        <v>1.3276255707762557E-13</v>
      </c>
      <c r="R13" s="306">
        <f t="shared" ref="R13:R18" si="8">C13*10^(-9)</f>
        <v>4.1868000000000007E-12</v>
      </c>
    </row>
    <row r="14" spans="1:18" ht="13.9">
      <c r="A14" s="348" t="s">
        <v>439</v>
      </c>
      <c r="B14" s="306">
        <f t="shared" ref="B14:J14" si="9">B5*10^6</f>
        <v>947867.29857819912</v>
      </c>
      <c r="C14" s="306">
        <f t="shared" si="9"/>
        <v>1000000</v>
      </c>
      <c r="D14" s="306">
        <f t="shared" si="9"/>
        <v>34.120842375356553</v>
      </c>
      <c r="E14" s="306">
        <f t="shared" si="9"/>
        <v>26840.61288341233</v>
      </c>
      <c r="F14" s="306">
        <f t="shared" si="9"/>
        <v>947867298.57819915</v>
      </c>
      <c r="G14" s="306">
        <f t="shared" si="9"/>
        <v>23.884589662749594</v>
      </c>
      <c r="H14" s="306">
        <f t="shared" si="9"/>
        <v>175.07404222795452</v>
      </c>
      <c r="I14" s="306">
        <f t="shared" si="5"/>
        <v>277777.77777777775</v>
      </c>
      <c r="J14" s="306">
        <f t="shared" si="9"/>
        <v>31.709791983764585</v>
      </c>
      <c r="K14" s="306">
        <f>G14*10^7</f>
        <v>238845896.62749594</v>
      </c>
      <c r="L14" s="305">
        <v>1</v>
      </c>
      <c r="M14" s="306">
        <f t="shared" si="0"/>
        <v>238.84589662749593</v>
      </c>
      <c r="N14" s="306">
        <f t="shared" si="1"/>
        <v>2.3884589662749594E-5</v>
      </c>
      <c r="O14" s="306">
        <f t="shared" si="2"/>
        <v>947.8672985781991</v>
      </c>
      <c r="P14" s="306">
        <f>Q14/Q$19*P$19</f>
        <v>0.27777777777777779</v>
      </c>
      <c r="Q14" s="306">
        <f>Q5*10^6</f>
        <v>3.1709791983764585E-5</v>
      </c>
      <c r="R14" s="306">
        <f t="shared" si="8"/>
        <v>1E-3</v>
      </c>
    </row>
    <row r="15" spans="1:18" ht="13.9">
      <c r="A15" s="348" t="s">
        <v>440</v>
      </c>
      <c r="B15" s="306">
        <f t="shared" ref="B15:J15" si="10">B9/10</f>
        <v>3968.5308056872041</v>
      </c>
      <c r="C15" s="306">
        <f t="shared" si="10"/>
        <v>4186.8</v>
      </c>
      <c r="D15" s="306">
        <f t="shared" si="10"/>
        <v>0.14285714285714285</v>
      </c>
      <c r="E15" s="306">
        <f t="shared" si="10"/>
        <v>112.37627802027073</v>
      </c>
      <c r="F15" s="306">
        <f t="shared" si="10"/>
        <v>3968530.8056872031</v>
      </c>
      <c r="G15" s="306">
        <f t="shared" si="10"/>
        <v>0.1</v>
      </c>
      <c r="H15" s="306">
        <f t="shared" si="10"/>
        <v>0.73299999999999998</v>
      </c>
      <c r="I15" s="306">
        <f t="shared" si="5"/>
        <v>1163</v>
      </c>
      <c r="J15" s="306">
        <f t="shared" si="10"/>
        <v>0.13276255707762558</v>
      </c>
      <c r="K15" s="306">
        <f>G15*10^7</f>
        <v>1000000</v>
      </c>
      <c r="L15" s="306">
        <f>L9/10</f>
        <v>4.1867999999999992E-3</v>
      </c>
      <c r="M15" s="305">
        <v>1</v>
      </c>
      <c r="N15" s="306">
        <f t="shared" si="1"/>
        <v>1.0000000000000001E-7</v>
      </c>
      <c r="O15" s="306">
        <f t="shared" si="2"/>
        <v>3.9685308056872031</v>
      </c>
      <c r="P15" s="306">
        <f>Q15/Q$19*P$19</f>
        <v>1.1630000000000002E-3</v>
      </c>
      <c r="Q15" s="306">
        <f>Q9/10</f>
        <v>1.3276255707762558E-7</v>
      </c>
      <c r="R15" s="306">
        <f t="shared" si="8"/>
        <v>4.1868000000000003E-6</v>
      </c>
    </row>
    <row r="16" spans="1:18" ht="13.9">
      <c r="A16" s="348" t="s">
        <v>441</v>
      </c>
      <c r="B16" s="306">
        <f t="shared" ref="B16:J16" si="11">B9*10^6</f>
        <v>39685308056.87204</v>
      </c>
      <c r="C16" s="306">
        <f t="shared" si="11"/>
        <v>41868000000</v>
      </c>
      <c r="D16" s="306">
        <f t="shared" si="11"/>
        <v>1428571.4285714286</v>
      </c>
      <c r="E16" s="306">
        <f t="shared" si="11"/>
        <v>1123762780.2027073</v>
      </c>
      <c r="F16" s="306">
        <f t="shared" si="11"/>
        <v>39685308056872.031</v>
      </c>
      <c r="G16" s="306">
        <f t="shared" si="11"/>
        <v>1000000</v>
      </c>
      <c r="H16" s="306">
        <f t="shared" si="11"/>
        <v>7330000</v>
      </c>
      <c r="I16" s="306">
        <f t="shared" si="5"/>
        <v>11629999999.999998</v>
      </c>
      <c r="J16" s="306">
        <f t="shared" si="11"/>
        <v>1327625.5707762556</v>
      </c>
      <c r="K16" s="306">
        <f>G16*10^7</f>
        <v>10000000000000</v>
      </c>
      <c r="L16" s="306">
        <f>L9*10^6</f>
        <v>41867.999999999993</v>
      </c>
      <c r="M16" s="306">
        <f>K16/10^6</f>
        <v>10000000</v>
      </c>
      <c r="N16" s="305">
        <v>1</v>
      </c>
      <c r="O16" s="306">
        <f t="shared" si="2"/>
        <v>39685308.056872033</v>
      </c>
      <c r="P16" s="306">
        <f>Q16/Q$19*P$19</f>
        <v>11630</v>
      </c>
      <c r="Q16" s="306">
        <f>Q9*10^6</f>
        <v>1.3276255707762556</v>
      </c>
      <c r="R16" s="306">
        <f t="shared" si="8"/>
        <v>41.868000000000002</v>
      </c>
    </row>
    <row r="17" spans="1:18" ht="13.9">
      <c r="A17" s="348" t="s">
        <v>442</v>
      </c>
      <c r="B17" s="306">
        <f t="shared" ref="B17:J17" si="12">B4*10^3</f>
        <v>1000</v>
      </c>
      <c r="C17" s="306">
        <f t="shared" si="12"/>
        <v>1055</v>
      </c>
      <c r="D17" s="306">
        <f t="shared" si="12"/>
        <v>3.5997488706001168E-2</v>
      </c>
      <c r="E17" s="309">
        <f t="shared" si="12"/>
        <v>28.316846592000005</v>
      </c>
      <c r="F17" s="306">
        <f t="shared" si="12"/>
        <v>1000000</v>
      </c>
      <c r="G17" s="306">
        <f t="shared" si="12"/>
        <v>2.5198242094200816E-2</v>
      </c>
      <c r="H17" s="306">
        <f t="shared" si="12"/>
        <v>0.18470311455049204</v>
      </c>
      <c r="I17" s="306">
        <f t="shared" si="5"/>
        <v>293.05555555555566</v>
      </c>
      <c r="J17" s="306">
        <f t="shared" si="12"/>
        <v>3.3453830542871647E-2</v>
      </c>
      <c r="K17" s="306">
        <f>G17*10^7</f>
        <v>251982.42094200818</v>
      </c>
      <c r="L17" s="306">
        <f>L4*10^3</f>
        <v>1.0550000000000002E-3</v>
      </c>
      <c r="M17" s="306">
        <f>M4*10^3</f>
        <v>0.25198242094200818</v>
      </c>
      <c r="N17" s="306">
        <f>N4*10^3</f>
        <v>2.519824209420082E-8</v>
      </c>
      <c r="O17" s="305">
        <v>1</v>
      </c>
      <c r="P17" s="306">
        <f>Q17/Q$19*P$19</f>
        <v>2.9305555555555557E-4</v>
      </c>
      <c r="Q17" s="306">
        <f>Q4*10^3</f>
        <v>3.3453830542871643E-8</v>
      </c>
      <c r="R17" s="306">
        <f t="shared" si="8"/>
        <v>1.0550000000000001E-6</v>
      </c>
    </row>
    <row r="18" spans="1:18" ht="13.9">
      <c r="A18" s="348" t="s">
        <v>443</v>
      </c>
      <c r="B18" s="306">
        <f>C18/C5*B5</f>
        <v>3412322.2748815166</v>
      </c>
      <c r="C18" s="304">
        <v>3600000</v>
      </c>
      <c r="D18" s="306">
        <f>C18/C9*D9</f>
        <v>122.83503255128362</v>
      </c>
      <c r="E18" s="306">
        <f>1/P7</f>
        <v>96626.206380284391</v>
      </c>
      <c r="F18" s="306">
        <f>C18/C9*F9</f>
        <v>3412322274.881516</v>
      </c>
      <c r="G18" s="306">
        <f>$C18/$C9*G9</f>
        <v>85.984522785898534</v>
      </c>
      <c r="H18" s="306">
        <f>G18/G9*H9</f>
        <v>630.26655202063625</v>
      </c>
      <c r="I18" s="306">
        <f t="shared" si="5"/>
        <v>999999.99999999988</v>
      </c>
      <c r="J18" s="306">
        <f>$C18/$C9*J9</f>
        <v>114.1552511415525</v>
      </c>
      <c r="K18" s="306">
        <f>$C18/$C9*K9</f>
        <v>859845227.85898519</v>
      </c>
      <c r="L18" s="306">
        <f>$C18/$C9*L9</f>
        <v>3.5999999999999996</v>
      </c>
      <c r="M18" s="306">
        <f>$C18/$C9*M9</f>
        <v>859.84522785898514</v>
      </c>
      <c r="N18" s="306">
        <f>G18/10^6</f>
        <v>8.5984522785898537E-5</v>
      </c>
      <c r="O18" s="306">
        <f>F18/10^6</f>
        <v>3412.322274881516</v>
      </c>
      <c r="P18" s="305">
        <v>1</v>
      </c>
      <c r="Q18" s="306">
        <f>1/P19</f>
        <v>1.1415525114155251E-4</v>
      </c>
      <c r="R18" s="306">
        <f t="shared" si="8"/>
        <v>3.6000000000000003E-3</v>
      </c>
    </row>
    <row r="19" spans="1:18" ht="13.9">
      <c r="A19" s="348" t="s">
        <v>444</v>
      </c>
      <c r="B19" s="306">
        <f t="shared" ref="B19:J19" si="13">B12*1000000</f>
        <v>29891943127.962082</v>
      </c>
      <c r="C19" s="306">
        <f t="shared" si="13"/>
        <v>31536000000</v>
      </c>
      <c r="D19" s="306">
        <f t="shared" si="13"/>
        <v>1076034.8851492442</v>
      </c>
      <c r="E19" s="306">
        <f t="shared" si="13"/>
        <v>846445567.89129126</v>
      </c>
      <c r="F19" s="306">
        <f t="shared" si="13"/>
        <v>29891943127962.082</v>
      </c>
      <c r="G19" s="306">
        <f t="shared" si="13"/>
        <v>753224.41960447119</v>
      </c>
      <c r="H19" s="306">
        <f t="shared" si="13"/>
        <v>5521134.9957007738</v>
      </c>
      <c r="I19" s="306">
        <f t="shared" si="5"/>
        <v>8760000000</v>
      </c>
      <c r="J19" s="306">
        <f t="shared" si="13"/>
        <v>1000000</v>
      </c>
      <c r="K19" s="306">
        <f>G19*10^7</f>
        <v>7532244196044.7119</v>
      </c>
      <c r="L19" s="306">
        <f>L12*1000000</f>
        <v>31536</v>
      </c>
      <c r="M19" s="306">
        <f>K19/10^6</f>
        <v>7532244.1960447123</v>
      </c>
      <c r="N19" s="306">
        <f>G19/10^6</f>
        <v>0.75322441960447117</v>
      </c>
      <c r="O19" s="306">
        <f>F19/10^6</f>
        <v>29891943.127962083</v>
      </c>
      <c r="P19" s="304">
        <v>8760</v>
      </c>
      <c r="Q19" s="305">
        <v>1</v>
      </c>
      <c r="R19" s="306">
        <f>P19/P18*R18</f>
        <v>31.536000000000001</v>
      </c>
    </row>
    <row r="20" spans="1:18" ht="13.9">
      <c r="A20" s="348" t="s">
        <v>445</v>
      </c>
      <c r="B20" s="306">
        <f t="shared" ref="B20:J20" si="14">B5*10^9</f>
        <v>947867298.57819903</v>
      </c>
      <c r="C20" s="306">
        <f t="shared" si="14"/>
        <v>1000000000</v>
      </c>
      <c r="D20" s="306">
        <f t="shared" si="14"/>
        <v>34120.842375356551</v>
      </c>
      <c r="E20" s="306">
        <f t="shared" si="14"/>
        <v>26840612.883412328</v>
      </c>
      <c r="F20" s="306">
        <f t="shared" si="14"/>
        <v>947867298578.1991</v>
      </c>
      <c r="G20" s="306">
        <f t="shared" si="14"/>
        <v>23884.589662749593</v>
      </c>
      <c r="H20" s="306">
        <f t="shared" si="14"/>
        <v>175074.04222795452</v>
      </c>
      <c r="I20" s="306">
        <f t="shared" si="5"/>
        <v>277777777.77777779</v>
      </c>
      <c r="J20" s="306">
        <f t="shared" si="14"/>
        <v>31709.791983764586</v>
      </c>
      <c r="K20" s="306">
        <f>G20*10^7</f>
        <v>238845896627.49594</v>
      </c>
      <c r="L20" s="306">
        <f>L5*10^9</f>
        <v>1000</v>
      </c>
      <c r="M20" s="306">
        <f>K20/10^6</f>
        <v>238845.89662749594</v>
      </c>
      <c r="N20" s="306">
        <f>G20/10^6</f>
        <v>2.3884589662749593E-2</v>
      </c>
      <c r="O20" s="306">
        <f>F20/10^6</f>
        <v>947867.29857819912</v>
      </c>
      <c r="P20" s="306">
        <f>P19/R19*R20</f>
        <v>277.77777777777777</v>
      </c>
      <c r="Q20" s="306">
        <f>P20/P19*Q19</f>
        <v>3.1709791983764585E-2</v>
      </c>
      <c r="R20" s="305">
        <v>1</v>
      </c>
    </row>
    <row r="21" spans="1:18" ht="13.9">
      <c r="A21" s="348"/>
      <c r="B21" s="306"/>
      <c r="C21" s="306"/>
      <c r="D21" s="306"/>
      <c r="E21" s="306"/>
      <c r="F21" s="306"/>
      <c r="G21" s="306"/>
      <c r="H21" s="306"/>
      <c r="I21" s="306"/>
      <c r="J21" s="306"/>
      <c r="K21" s="306"/>
      <c r="L21" s="306"/>
      <c r="M21" s="306"/>
      <c r="N21" s="306"/>
      <c r="O21" s="306"/>
      <c r="P21" s="306"/>
      <c r="Q21" s="306"/>
      <c r="R21" s="305"/>
    </row>
    <row r="22" spans="1:18">
      <c r="A22" s="310"/>
      <c r="B22" s="310"/>
      <c r="C22" s="310"/>
      <c r="D22" s="310"/>
      <c r="E22" s="310"/>
      <c r="F22" s="310"/>
      <c r="G22" s="310"/>
      <c r="H22" s="310"/>
      <c r="I22" s="310"/>
      <c r="J22" s="310"/>
      <c r="K22" s="310"/>
      <c r="L22" s="310"/>
      <c r="M22" s="310"/>
      <c r="N22" s="310"/>
      <c r="O22" s="310"/>
      <c r="P22" s="310"/>
      <c r="Q22" s="310"/>
      <c r="R22" s="310"/>
    </row>
    <row r="23" spans="1:18">
      <c r="A23" s="310"/>
      <c r="B23" s="311" t="s">
        <v>447</v>
      </c>
      <c r="C23" s="311"/>
      <c r="D23" s="311"/>
      <c r="E23" s="311" t="s">
        <v>448</v>
      </c>
      <c r="F23" s="311"/>
      <c r="G23" s="311"/>
      <c r="H23" s="311"/>
      <c r="I23" s="311"/>
      <c r="J23" s="311"/>
      <c r="K23" s="311"/>
      <c r="L23" s="311"/>
      <c r="M23" s="311"/>
      <c r="N23" s="310"/>
      <c r="O23" s="310"/>
      <c r="P23" s="310"/>
      <c r="Q23" s="310"/>
      <c r="R23" s="310"/>
    </row>
    <row r="24" spans="1:18">
      <c r="A24" s="310"/>
      <c r="B24" s="302"/>
      <c r="C24" s="302"/>
      <c r="D24" s="302"/>
      <c r="E24" s="302"/>
      <c r="F24" s="311"/>
      <c r="G24" s="311"/>
      <c r="H24" s="311"/>
      <c r="I24" s="311"/>
      <c r="J24" s="311"/>
      <c r="K24" s="312" t="s">
        <v>449</v>
      </c>
      <c r="L24" s="312" t="s">
        <v>450</v>
      </c>
      <c r="M24" s="311"/>
      <c r="N24" s="310"/>
      <c r="O24" s="310"/>
      <c r="P24" s="310"/>
      <c r="Q24" s="310"/>
      <c r="R24" s="310"/>
    </row>
    <row r="25" spans="1:18">
      <c r="A25" s="310"/>
      <c r="B25" s="311"/>
      <c r="C25" s="302"/>
      <c r="D25" s="313" t="s">
        <v>451</v>
      </c>
      <c r="E25" s="314"/>
      <c r="F25" s="313" t="s">
        <v>452</v>
      </c>
      <c r="G25" s="313"/>
      <c r="H25" s="312" t="s">
        <v>449</v>
      </c>
      <c r="I25" s="312"/>
      <c r="J25" s="312" t="s">
        <v>450</v>
      </c>
      <c r="K25" s="312" t="s">
        <v>453</v>
      </c>
      <c r="L25" s="312" t="s">
        <v>453</v>
      </c>
      <c r="M25" s="311"/>
      <c r="N25" s="310"/>
      <c r="O25" s="310"/>
      <c r="P25" s="310"/>
      <c r="Q25" s="310"/>
      <c r="R25" s="310"/>
    </row>
    <row r="26" spans="1:18">
      <c r="A26" s="310"/>
      <c r="B26" s="311" t="s">
        <v>454</v>
      </c>
      <c r="C26" s="311"/>
      <c r="D26" s="315">
        <v>26.8</v>
      </c>
      <c r="E26" s="315">
        <v>28.4</v>
      </c>
      <c r="F26" s="316">
        <v>28.1</v>
      </c>
      <c r="G26" s="315">
        <v>29.9</v>
      </c>
      <c r="H26" s="315">
        <f t="shared" ref="H26:H31" si="15">(D26+E26)/2</f>
        <v>27.6</v>
      </c>
      <c r="I26" s="315"/>
      <c r="J26" s="315">
        <f t="shared" ref="J26:J31" si="16">(F26+G26)/2</f>
        <v>29</v>
      </c>
      <c r="K26" s="317">
        <f t="shared" ref="K26:K31" si="17">H26/10^3*$C$9/10^3</f>
        <v>1.1555568000000001</v>
      </c>
      <c r="L26" s="317">
        <f t="shared" ref="L26:L31" si="18">J26/10^3*$C$9/10^3</f>
        <v>1.214172</v>
      </c>
      <c r="M26" s="318">
        <f t="shared" ref="M26:M31" si="19">L26/$L$28</f>
        <v>1.1394891944990173</v>
      </c>
      <c r="N26" s="310"/>
      <c r="O26" s="310"/>
      <c r="P26" s="310"/>
      <c r="Q26" s="310"/>
      <c r="R26" s="310"/>
    </row>
    <row r="27" spans="1:18">
      <c r="A27" s="310"/>
      <c r="B27" s="311" t="s">
        <v>455</v>
      </c>
      <c r="C27" s="311"/>
      <c r="D27" s="315">
        <v>30.3</v>
      </c>
      <c r="E27" s="315">
        <v>30.3</v>
      </c>
      <c r="F27" s="315">
        <v>28.9</v>
      </c>
      <c r="G27" s="315">
        <v>28.9</v>
      </c>
      <c r="H27" s="315">
        <f t="shared" si="15"/>
        <v>30.3</v>
      </c>
      <c r="I27" s="315"/>
      <c r="J27" s="315">
        <f t="shared" si="16"/>
        <v>28.9</v>
      </c>
      <c r="K27" s="317">
        <f t="shared" si="17"/>
        <v>1.2686004</v>
      </c>
      <c r="L27" s="317">
        <f t="shared" si="18"/>
        <v>1.2099851999999998</v>
      </c>
      <c r="M27" s="318">
        <f t="shared" si="19"/>
        <v>1.1355599214145378</v>
      </c>
      <c r="N27" s="310"/>
      <c r="O27" s="310"/>
      <c r="P27" s="310"/>
      <c r="Q27" s="310"/>
      <c r="R27" s="310"/>
    </row>
    <row r="28" spans="1:18">
      <c r="A28" s="310"/>
      <c r="B28" s="311" t="s">
        <v>456</v>
      </c>
      <c r="C28" s="311"/>
      <c r="D28" s="315">
        <v>23.9</v>
      </c>
      <c r="E28" s="315">
        <v>24.5</v>
      </c>
      <c r="F28" s="315">
        <v>25.1</v>
      </c>
      <c r="G28" s="315">
        <v>25.8</v>
      </c>
      <c r="H28" s="315">
        <f t="shared" si="15"/>
        <v>24.2</v>
      </c>
      <c r="I28" s="315"/>
      <c r="J28" s="315">
        <f t="shared" si="16"/>
        <v>25.450000000000003</v>
      </c>
      <c r="K28" s="317">
        <f t="shared" si="17"/>
        <v>1.0132056</v>
      </c>
      <c r="L28" s="317">
        <f t="shared" si="18"/>
        <v>1.0655406000000003</v>
      </c>
      <c r="M28" s="318">
        <f t="shared" si="19"/>
        <v>1</v>
      </c>
      <c r="N28" s="310"/>
      <c r="O28" s="310"/>
      <c r="P28" s="310"/>
      <c r="Q28" s="310"/>
      <c r="R28" s="310"/>
    </row>
    <row r="29" spans="1:18">
      <c r="A29" s="310"/>
      <c r="B29" s="302" t="s">
        <v>457</v>
      </c>
      <c r="C29" s="302"/>
      <c r="D29" s="316">
        <f>D28*1.18</f>
        <v>28.201999999999998</v>
      </c>
      <c r="E29" s="316">
        <f>E28*1.18</f>
        <v>28.91</v>
      </c>
      <c r="F29" s="316">
        <f>F28*1.18</f>
        <v>29.617999999999999</v>
      </c>
      <c r="G29" s="316">
        <f>G28*1.18</f>
        <v>30.443999999999999</v>
      </c>
      <c r="H29" s="315">
        <f t="shared" si="15"/>
        <v>28.555999999999997</v>
      </c>
      <c r="I29" s="315"/>
      <c r="J29" s="315">
        <f t="shared" si="16"/>
        <v>30.030999999999999</v>
      </c>
      <c r="K29" s="317">
        <f t="shared" si="17"/>
        <v>1.195582608</v>
      </c>
      <c r="L29" s="317">
        <f t="shared" si="18"/>
        <v>1.257337908</v>
      </c>
      <c r="M29" s="318">
        <f t="shared" si="19"/>
        <v>1.1799999999999997</v>
      </c>
      <c r="N29" s="310"/>
      <c r="O29" s="310"/>
      <c r="P29" s="310"/>
      <c r="Q29" s="310"/>
      <c r="R29" s="310"/>
    </row>
    <row r="30" spans="1:18">
      <c r="A30" s="310"/>
      <c r="B30" s="311" t="s">
        <v>458</v>
      </c>
      <c r="C30" s="311"/>
      <c r="D30" s="315">
        <v>19</v>
      </c>
      <c r="E30" s="315">
        <v>20.3</v>
      </c>
      <c r="F30" s="315">
        <v>20</v>
      </c>
      <c r="G30" s="315">
        <v>21.4</v>
      </c>
      <c r="H30" s="315">
        <f t="shared" si="15"/>
        <v>19.649999999999999</v>
      </c>
      <c r="I30" s="315"/>
      <c r="J30" s="315">
        <f t="shared" si="16"/>
        <v>20.7</v>
      </c>
      <c r="K30" s="317">
        <f t="shared" si="17"/>
        <v>0.82270619999999983</v>
      </c>
      <c r="L30" s="317">
        <f t="shared" si="18"/>
        <v>0.86666759999999998</v>
      </c>
      <c r="M30" s="318">
        <f t="shared" si="19"/>
        <v>0.81335952848722959</v>
      </c>
      <c r="N30" s="310"/>
      <c r="O30" s="310"/>
      <c r="P30" s="310"/>
      <c r="Q30" s="310"/>
      <c r="R30" s="310"/>
    </row>
    <row r="31" spans="1:18">
      <c r="A31" s="310"/>
      <c r="B31" s="311" t="s">
        <v>134</v>
      </c>
      <c r="C31" s="311"/>
      <c r="D31" s="315">
        <v>13.6</v>
      </c>
      <c r="E31" s="315">
        <v>14</v>
      </c>
      <c r="F31" s="315">
        <v>15</v>
      </c>
      <c r="G31" s="315">
        <v>15.4</v>
      </c>
      <c r="H31" s="315">
        <f t="shared" si="15"/>
        <v>13.8</v>
      </c>
      <c r="I31" s="315"/>
      <c r="J31" s="315">
        <f t="shared" si="16"/>
        <v>15.2</v>
      </c>
      <c r="K31" s="317">
        <f t="shared" si="17"/>
        <v>0.57777840000000003</v>
      </c>
      <c r="L31" s="317">
        <f t="shared" si="18"/>
        <v>0.6363936</v>
      </c>
      <c r="M31" s="318">
        <f t="shared" si="19"/>
        <v>0.59724950884086425</v>
      </c>
      <c r="N31" s="310"/>
      <c r="O31" s="310"/>
      <c r="P31" s="310"/>
      <c r="Q31" s="310"/>
      <c r="R31" s="310"/>
    </row>
    <row r="33" spans="2:18" ht="15">
      <c r="I33" s="319"/>
      <c r="R33" s="320"/>
    </row>
    <row r="35" spans="2:18">
      <c r="B35" s="302" t="s">
        <v>323</v>
      </c>
      <c r="C35" s="919" t="s">
        <v>459</v>
      </c>
      <c r="D35" s="919"/>
      <c r="E35" s="919"/>
      <c r="F35" s="919"/>
      <c r="G35" s="920" t="s">
        <v>460</v>
      </c>
      <c r="H35" s="920"/>
      <c r="J35" s="322" t="s">
        <v>461</v>
      </c>
      <c r="K35" s="322" t="s">
        <v>462</v>
      </c>
      <c r="L35" s="303" t="s">
        <v>463</v>
      </c>
      <c r="M35" s="303" t="s">
        <v>464</v>
      </c>
    </row>
    <row r="36" spans="2:18">
      <c r="B36" s="302"/>
      <c r="C36" s="302"/>
      <c r="D36" s="302"/>
      <c r="J36" s="321"/>
      <c r="K36" s="321"/>
    </row>
    <row r="37" spans="2:18" ht="13.9">
      <c r="B37" s="302" t="s">
        <v>465</v>
      </c>
      <c r="C37" s="302">
        <f t="shared" ref="C37:C47" si="20">E37*G37</f>
        <v>8944</v>
      </c>
      <c r="D37" s="302" t="s">
        <v>466</v>
      </c>
      <c r="E37" s="303">
        <v>10750</v>
      </c>
      <c r="F37" s="303" t="s">
        <v>467</v>
      </c>
      <c r="G37" s="303">
        <v>0.83199999999999996</v>
      </c>
      <c r="H37" s="303" t="s">
        <v>468</v>
      </c>
      <c r="J37" s="323">
        <f>E37*$C$13</f>
        <v>45.008099999999999</v>
      </c>
      <c r="K37" s="321">
        <f>J37/41.868</f>
        <v>1.075</v>
      </c>
      <c r="L37" s="324">
        <f>J37*$I$5</f>
        <v>12.50225</v>
      </c>
      <c r="M37" s="325">
        <f>L37*G37</f>
        <v>10.401871999999999</v>
      </c>
      <c r="N37" s="326"/>
      <c r="O37" s="303">
        <v>74</v>
      </c>
      <c r="P37" s="303" t="s">
        <v>469</v>
      </c>
    </row>
    <row r="38" spans="2:18">
      <c r="B38" s="302" t="s">
        <v>470</v>
      </c>
      <c r="C38" s="302">
        <f t="shared" si="20"/>
        <v>7897</v>
      </c>
      <c r="D38" s="302" t="s">
        <v>466</v>
      </c>
      <c r="E38" s="303">
        <v>10600</v>
      </c>
      <c r="F38" s="303" t="s">
        <v>467</v>
      </c>
      <c r="G38" s="303">
        <v>0.745</v>
      </c>
      <c r="H38" s="303" t="s">
        <v>468</v>
      </c>
      <c r="I38" s="323"/>
      <c r="J38" s="323">
        <f t="shared" ref="J38:J46" si="21">E38*$C$13</f>
        <v>44.38008</v>
      </c>
      <c r="K38" s="321">
        <f t="shared" ref="K38:K54" si="22">J38/41.868</f>
        <v>1.0599999999999998</v>
      </c>
      <c r="L38" s="324">
        <f t="shared" ref="L38:L54" si="23">J38*$I$5</f>
        <v>12.3278</v>
      </c>
      <c r="M38" s="325">
        <f>L38*G38</f>
        <v>9.1842109999999995</v>
      </c>
      <c r="O38" s="303">
        <f>O37*1000/1000000</f>
        <v>7.3999999999999996E-2</v>
      </c>
      <c r="P38" s="303" t="s">
        <v>471</v>
      </c>
    </row>
    <row r="39" spans="2:18">
      <c r="B39" s="303" t="s">
        <v>472</v>
      </c>
      <c r="C39" s="302">
        <f t="shared" si="20"/>
        <v>7526</v>
      </c>
      <c r="D39" s="302" t="s">
        <v>466</v>
      </c>
      <c r="E39" s="303">
        <v>10600</v>
      </c>
      <c r="F39" s="303" t="s">
        <v>467</v>
      </c>
      <c r="G39" s="303">
        <v>0.71</v>
      </c>
      <c r="H39" s="303" t="s">
        <v>468</v>
      </c>
      <c r="I39" s="323"/>
      <c r="J39" s="323">
        <f t="shared" si="21"/>
        <v>44.38008</v>
      </c>
      <c r="K39" s="321">
        <f t="shared" si="22"/>
        <v>1.0599999999999998</v>
      </c>
      <c r="L39" s="324">
        <f t="shared" si="23"/>
        <v>12.3278</v>
      </c>
      <c r="M39" s="325">
        <f>L39*G39</f>
        <v>8.752737999999999</v>
      </c>
      <c r="O39" s="303">
        <f>O38*J37</f>
        <v>3.3305993999999997</v>
      </c>
      <c r="P39" s="303" t="s">
        <v>473</v>
      </c>
    </row>
    <row r="40" spans="2:18">
      <c r="B40" s="303" t="s">
        <v>474</v>
      </c>
      <c r="C40" s="302"/>
      <c r="D40" s="302"/>
      <c r="I40" s="323"/>
      <c r="J40" s="323">
        <v>43</v>
      </c>
      <c r="K40" s="321"/>
      <c r="L40" s="324">
        <f t="shared" si="23"/>
        <v>11.944444444444445</v>
      </c>
      <c r="O40" s="303">
        <f>G37*O39</f>
        <v>2.7710587007999994</v>
      </c>
      <c r="P40" s="303" t="s">
        <v>475</v>
      </c>
    </row>
    <row r="41" spans="2:18">
      <c r="B41" s="302" t="s">
        <v>135</v>
      </c>
      <c r="C41" s="302">
        <f t="shared" si="20"/>
        <v>5995.0000000000009</v>
      </c>
      <c r="D41" s="302" t="s">
        <v>466</v>
      </c>
      <c r="E41" s="302">
        <v>10900</v>
      </c>
      <c r="F41" s="302" t="s">
        <v>467</v>
      </c>
      <c r="G41" s="302">
        <v>0.55000000000000004</v>
      </c>
      <c r="H41" s="302" t="s">
        <v>468</v>
      </c>
      <c r="I41" s="323"/>
      <c r="J41" s="323">
        <f t="shared" si="21"/>
        <v>45.636119999999998</v>
      </c>
      <c r="K41" s="321">
        <f t="shared" si="22"/>
        <v>1.0899999999999999</v>
      </c>
      <c r="L41" s="324">
        <f t="shared" si="23"/>
        <v>12.6767</v>
      </c>
    </row>
    <row r="42" spans="2:18">
      <c r="B42" s="303" t="s">
        <v>142</v>
      </c>
      <c r="C42" s="327">
        <f t="shared" si="20"/>
        <v>4531.8</v>
      </c>
      <c r="D42" s="302" t="s">
        <v>466</v>
      </c>
      <c r="E42" s="303">
        <v>10790</v>
      </c>
      <c r="F42" s="303" t="s">
        <v>467</v>
      </c>
      <c r="G42" s="303">
        <v>0.42</v>
      </c>
      <c r="H42" s="303" t="s">
        <v>468</v>
      </c>
      <c r="I42" s="323"/>
      <c r="J42" s="323">
        <f t="shared" si="21"/>
        <v>45.175572000000003</v>
      </c>
      <c r="K42" s="321">
        <f t="shared" si="22"/>
        <v>1.079</v>
      </c>
      <c r="L42" s="324">
        <f t="shared" si="23"/>
        <v>12.548770000000001</v>
      </c>
    </row>
    <row r="43" spans="2:18">
      <c r="B43" s="303" t="s">
        <v>476</v>
      </c>
      <c r="C43" s="327"/>
      <c r="D43" s="302"/>
      <c r="I43" s="323"/>
      <c r="J43" s="323">
        <v>47.14</v>
      </c>
      <c r="K43" s="321"/>
      <c r="L43" s="324">
        <f t="shared" si="23"/>
        <v>13.094444444444445</v>
      </c>
    </row>
    <row r="44" spans="2:18">
      <c r="B44" s="328" t="s">
        <v>477</v>
      </c>
      <c r="C44" s="329"/>
      <c r="D44" s="330"/>
      <c r="E44" s="328"/>
      <c r="F44" s="328"/>
      <c r="G44" s="328">
        <v>0.45</v>
      </c>
      <c r="H44" s="330" t="s">
        <v>468</v>
      </c>
      <c r="I44" s="331"/>
      <c r="J44" s="331">
        <v>53.4</v>
      </c>
      <c r="K44" s="332"/>
      <c r="L44" s="333"/>
      <c r="M44" s="328" t="s">
        <v>478</v>
      </c>
      <c r="N44" s="328"/>
      <c r="O44" s="328"/>
      <c r="P44" s="328" t="s">
        <v>479</v>
      </c>
    </row>
    <row r="45" spans="2:18">
      <c r="B45" s="302" t="s">
        <v>480</v>
      </c>
      <c r="C45" s="302">
        <f t="shared" si="20"/>
        <v>5280</v>
      </c>
      <c r="D45" s="302" t="s">
        <v>466</v>
      </c>
      <c r="E45" s="302">
        <v>6600</v>
      </c>
      <c r="F45" s="302" t="s">
        <v>467</v>
      </c>
      <c r="G45" s="302">
        <v>0.8</v>
      </c>
      <c r="H45" s="302" t="s">
        <v>468</v>
      </c>
      <c r="I45" s="323"/>
      <c r="J45" s="323">
        <f t="shared" si="21"/>
        <v>27.63288</v>
      </c>
      <c r="K45" s="321">
        <f t="shared" si="22"/>
        <v>0.65999999999999992</v>
      </c>
      <c r="L45" s="324">
        <f t="shared" si="23"/>
        <v>7.6758000000000006</v>
      </c>
    </row>
    <row r="46" spans="2:18">
      <c r="B46" s="302" t="s">
        <v>481</v>
      </c>
      <c r="C46" s="302">
        <f t="shared" si="20"/>
        <v>8815</v>
      </c>
      <c r="D46" s="302" t="s">
        <v>466</v>
      </c>
      <c r="E46" s="303">
        <v>10250</v>
      </c>
      <c r="F46" s="303" t="s">
        <v>467</v>
      </c>
      <c r="G46" s="303">
        <v>0.86</v>
      </c>
      <c r="H46" s="303" t="s">
        <v>468</v>
      </c>
      <c r="I46" s="323"/>
      <c r="J46" s="323">
        <f t="shared" si="21"/>
        <v>42.914700000000003</v>
      </c>
      <c r="K46" s="321">
        <f t="shared" si="22"/>
        <v>1.0250000000000001</v>
      </c>
      <c r="L46" s="324">
        <f t="shared" si="23"/>
        <v>11.920750000000002</v>
      </c>
    </row>
    <row r="47" spans="2:18">
      <c r="B47" s="302" t="s">
        <v>482</v>
      </c>
      <c r="C47" s="302">
        <f t="shared" si="20"/>
        <v>9312</v>
      </c>
      <c r="D47" s="302" t="s">
        <v>466</v>
      </c>
      <c r="E47" s="303">
        <v>9700</v>
      </c>
      <c r="F47" s="303" t="s">
        <v>467</v>
      </c>
      <c r="G47" s="303">
        <v>0.96</v>
      </c>
      <c r="H47" s="303" t="s">
        <v>468</v>
      </c>
      <c r="I47" s="323"/>
      <c r="J47" s="323">
        <f>E47*$C$13</f>
        <v>40.611960000000003</v>
      </c>
      <c r="K47" s="321">
        <f t="shared" si="22"/>
        <v>0.97000000000000008</v>
      </c>
      <c r="L47" s="324">
        <f t="shared" si="23"/>
        <v>11.281100000000002</v>
      </c>
    </row>
    <row r="48" spans="2:18">
      <c r="B48" s="303" t="s">
        <v>483</v>
      </c>
      <c r="J48" s="334">
        <v>15</v>
      </c>
      <c r="L48" s="324">
        <f t="shared" si="23"/>
        <v>4.166666666666667</v>
      </c>
    </row>
    <row r="49" spans="2:16">
      <c r="B49" s="335" t="s">
        <v>137</v>
      </c>
      <c r="J49" s="334">
        <v>29.3</v>
      </c>
      <c r="K49" s="336">
        <f t="shared" si="22"/>
        <v>0.69981847711856304</v>
      </c>
      <c r="L49" s="324">
        <f t="shared" si="23"/>
        <v>8.1388888888888893</v>
      </c>
    </row>
    <row r="50" spans="2:16">
      <c r="B50" s="337" t="s">
        <v>454</v>
      </c>
      <c r="C50" s="338"/>
      <c r="D50" s="338"/>
      <c r="E50" s="338">
        <v>3800</v>
      </c>
      <c r="F50" s="338"/>
      <c r="G50" s="338"/>
      <c r="H50" s="338"/>
      <c r="I50" s="338"/>
      <c r="J50" s="339">
        <f>E50*$C$13</f>
        <v>15.909840000000001</v>
      </c>
      <c r="K50" s="340">
        <f t="shared" si="22"/>
        <v>0.38</v>
      </c>
      <c r="L50" s="341">
        <f t="shared" si="23"/>
        <v>4.4194000000000004</v>
      </c>
    </row>
    <row r="51" spans="2:16">
      <c r="B51" s="335" t="s">
        <v>484</v>
      </c>
      <c r="E51" s="303">
        <v>7000</v>
      </c>
      <c r="J51" s="323">
        <f>E51*$C$13</f>
        <v>29.307600000000001</v>
      </c>
      <c r="K51" s="336">
        <f t="shared" si="22"/>
        <v>0.7</v>
      </c>
      <c r="L51" s="324">
        <f t="shared" si="23"/>
        <v>8.141</v>
      </c>
    </row>
    <row r="52" spans="2:16">
      <c r="B52" s="303" t="s">
        <v>485</v>
      </c>
      <c r="J52" s="334">
        <v>34</v>
      </c>
      <c r="K52" s="336">
        <f t="shared" si="22"/>
        <v>0.81207604853348614</v>
      </c>
      <c r="L52" s="324">
        <f t="shared" si="23"/>
        <v>9.4444444444444446</v>
      </c>
    </row>
    <row r="53" spans="2:16">
      <c r="B53" s="303" t="s">
        <v>486</v>
      </c>
      <c r="J53" s="334">
        <v>29.7</v>
      </c>
      <c r="K53" s="336">
        <f t="shared" si="22"/>
        <v>0.70937231298366288</v>
      </c>
      <c r="L53" s="324">
        <f t="shared" si="23"/>
        <v>8.25</v>
      </c>
    </row>
    <row r="54" spans="2:16">
      <c r="B54" s="303" t="s">
        <v>487</v>
      </c>
      <c r="J54" s="334">
        <v>37</v>
      </c>
      <c r="K54" s="303">
        <f t="shared" si="22"/>
        <v>0.88372981752173496</v>
      </c>
      <c r="L54" s="324">
        <f t="shared" si="23"/>
        <v>10.277777777777779</v>
      </c>
    </row>
    <row r="55" spans="2:16">
      <c r="J55" s="334"/>
    </row>
    <row r="56" spans="2:16">
      <c r="B56" s="303" t="s">
        <v>488</v>
      </c>
      <c r="J56" s="334">
        <v>500000</v>
      </c>
      <c r="K56" s="336">
        <f>J56/41.868</f>
        <v>11942.294831374797</v>
      </c>
    </row>
    <row r="57" spans="2:16">
      <c r="B57" s="342" t="s">
        <v>489</v>
      </c>
      <c r="G57" s="303">
        <f>7*G38</f>
        <v>5.2149999999999999</v>
      </c>
      <c r="J57" s="334">
        <v>3900000</v>
      </c>
      <c r="K57" s="336">
        <f>J57/41.868</f>
        <v>93149.899684723408</v>
      </c>
    </row>
    <row r="58" spans="2:16">
      <c r="B58" s="343">
        <v>3.5000000000000003E-2</v>
      </c>
    </row>
    <row r="60" spans="2:16">
      <c r="P60" s="344"/>
    </row>
    <row r="63" spans="2:16">
      <c r="C63" s="343"/>
    </row>
    <row r="71" spans="7:11">
      <c r="G71" s="345" t="s">
        <v>490</v>
      </c>
    </row>
    <row r="72" spans="7:11">
      <c r="G72" s="338"/>
      <c r="H72" s="338"/>
      <c r="I72" s="338"/>
    </row>
    <row r="73" spans="7:11">
      <c r="G73" s="338" t="s">
        <v>491</v>
      </c>
      <c r="H73" s="338">
        <v>53.4</v>
      </c>
      <c r="I73" s="338" t="s">
        <v>430</v>
      </c>
    </row>
    <row r="74" spans="7:11">
      <c r="G74" s="338"/>
      <c r="H74" s="338">
        <f>H73/42</f>
        <v>1.2714285714285714</v>
      </c>
      <c r="I74" s="338" t="s">
        <v>462</v>
      </c>
    </row>
    <row r="75" spans="7:11">
      <c r="G75" s="338"/>
      <c r="H75" s="338">
        <f>H73/37.25</f>
        <v>1.4335570469798657</v>
      </c>
      <c r="I75" s="338" t="s">
        <v>446</v>
      </c>
    </row>
    <row r="76" spans="7:11">
      <c r="G76" s="338"/>
      <c r="H76" s="338"/>
      <c r="I76" s="338"/>
    </row>
    <row r="77" spans="7:11">
      <c r="G77" s="338" t="s">
        <v>492</v>
      </c>
      <c r="H77" s="346">
        <f>H74</f>
        <v>1.2714285714285714</v>
      </c>
      <c r="I77" s="338" t="s">
        <v>441</v>
      </c>
    </row>
    <row r="78" spans="7:11">
      <c r="G78" s="338"/>
      <c r="H78" s="346">
        <f>H77*7.33</f>
        <v>9.3195714285714288</v>
      </c>
      <c r="I78" s="338" t="s">
        <v>493</v>
      </c>
    </row>
    <row r="79" spans="7:11">
      <c r="G79" s="338"/>
      <c r="H79" s="346">
        <f>H73/37.25</f>
        <v>1.4335570469798657</v>
      </c>
      <c r="I79" s="338" t="s">
        <v>494</v>
      </c>
      <c r="J79" s="303">
        <f>H79/365*1000</f>
        <v>3.9275535533694956</v>
      </c>
      <c r="K79" s="303" t="s">
        <v>495</v>
      </c>
    </row>
    <row r="80" spans="7:11">
      <c r="G80" s="338"/>
      <c r="H80" s="338"/>
      <c r="I80" s="338"/>
      <c r="K80" s="303">
        <f>0.32*J79</f>
        <v>1.2568171370782386</v>
      </c>
    </row>
    <row r="81" spans="3:10">
      <c r="F81" s="303" t="s">
        <v>496</v>
      </c>
      <c r="G81" s="338">
        <v>300</v>
      </c>
      <c r="H81" s="338" t="s">
        <v>497</v>
      </c>
      <c r="I81" s="338" t="s">
        <v>498</v>
      </c>
    </row>
    <row r="82" spans="3:10">
      <c r="G82" s="338"/>
      <c r="H82" s="338"/>
      <c r="I82" s="338"/>
    </row>
    <row r="83" spans="3:10">
      <c r="E83" s="303" t="s">
        <v>499</v>
      </c>
      <c r="F83" s="303" t="s">
        <v>500</v>
      </c>
      <c r="G83" s="338">
        <f>G81*0.9</f>
        <v>270</v>
      </c>
      <c r="H83" s="338" t="s">
        <v>501</v>
      </c>
      <c r="I83" s="338"/>
    </row>
    <row r="84" spans="3:10">
      <c r="E84" s="303" t="s">
        <v>502</v>
      </c>
      <c r="F84" s="303" t="s">
        <v>503</v>
      </c>
      <c r="G84" s="338">
        <f>G81*0.9/0.5/1000</f>
        <v>0.54</v>
      </c>
      <c r="H84" s="338" t="s">
        <v>504</v>
      </c>
      <c r="I84" s="338">
        <f>G84*E19/1000000</f>
        <v>457.08060666129734</v>
      </c>
      <c r="J84" s="303" t="s">
        <v>505</v>
      </c>
    </row>
    <row r="85" spans="3:10">
      <c r="G85" s="338"/>
      <c r="H85" s="338"/>
      <c r="I85" s="338">
        <f>I84/H79/1000</f>
        <v>0.31884368161298365</v>
      </c>
      <c r="J85" s="303" t="s">
        <v>506</v>
      </c>
    </row>
    <row r="93" spans="3:10">
      <c r="C93" s="321"/>
    </row>
  </sheetData>
  <mergeCells count="2">
    <mergeCell ref="C35:F35"/>
    <mergeCell ref="G35:H35"/>
  </mergeCells>
  <printOptions gridLines="1"/>
  <pageMargins left="0.75" right="0.75" top="1" bottom="1" header="0.5" footer="0.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DEB73-A7E2-46B4-A68D-45F4D6C23943}">
  <dimension ref="E1:O3"/>
  <sheetViews>
    <sheetView topLeftCell="A3" zoomScale="115" zoomScaleNormal="115" workbookViewId="0">
      <selection activeCell="B17" sqref="B17"/>
    </sheetView>
  </sheetViews>
  <sheetFormatPr defaultColWidth="9.140625" defaultRowHeight="14.45"/>
  <cols>
    <col min="4" max="4" width="4.42578125" customWidth="1"/>
    <col min="15" max="15" width="21.5703125" customWidth="1"/>
  </cols>
  <sheetData>
    <row r="1" spans="5:15" ht="15" thickBot="1"/>
    <row r="2" spans="5:15" ht="18" thickBot="1">
      <c r="E2" s="921" t="s">
        <v>507</v>
      </c>
      <c r="F2" s="922"/>
      <c r="G2" s="922"/>
      <c r="H2" s="922"/>
      <c r="I2" s="922"/>
      <c r="J2" s="922"/>
      <c r="K2" s="922"/>
      <c r="L2" s="922"/>
      <c r="M2" s="922"/>
      <c r="N2" s="922"/>
      <c r="O2" s="923"/>
    </row>
    <row r="3" spans="5:15" ht="98.45" customHeight="1" thickBot="1">
      <c r="E3" s="924" t="s">
        <v>508</v>
      </c>
      <c r="F3" s="925"/>
      <c r="G3" s="925"/>
      <c r="H3" s="925"/>
      <c r="I3" s="925"/>
      <c r="J3" s="925"/>
      <c r="K3" s="925"/>
      <c r="L3" s="925"/>
      <c r="M3" s="925"/>
      <c r="N3" s="925"/>
      <c r="O3" s="926"/>
    </row>
  </sheetData>
  <mergeCells count="2">
    <mergeCell ref="E2:O2"/>
    <mergeCell ref="E3:O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ACFE-9293-4CCE-AA04-93F53A1A036F}">
  <dimension ref="B1:J66"/>
  <sheetViews>
    <sheetView topLeftCell="A10" zoomScale="85" zoomScaleNormal="85" workbookViewId="0">
      <selection activeCell="B32" sqref="B32"/>
    </sheetView>
  </sheetViews>
  <sheetFormatPr defaultColWidth="11.42578125" defaultRowHeight="14.45"/>
  <cols>
    <col min="2" max="2" width="62.85546875" bestFit="1" customWidth="1"/>
    <col min="3" max="3" width="13.85546875" customWidth="1"/>
    <col min="4" max="4" width="19.7109375" customWidth="1"/>
    <col min="5" max="5" width="13" customWidth="1"/>
    <col min="6" max="6" width="34.85546875" customWidth="1"/>
  </cols>
  <sheetData>
    <row r="1" spans="2:10">
      <c r="I1" s="780"/>
      <c r="J1" s="781" t="s">
        <v>181</v>
      </c>
    </row>
    <row r="2" spans="2:10">
      <c r="I2" s="782"/>
      <c r="J2" s="781" t="s">
        <v>222</v>
      </c>
    </row>
    <row r="3" spans="2:10" ht="17.45">
      <c r="B3" s="783" t="s">
        <v>509</v>
      </c>
      <c r="I3" s="386"/>
      <c r="J3" s="781" t="s">
        <v>186</v>
      </c>
    </row>
    <row r="4" spans="2:10" ht="15" thickBot="1">
      <c r="I4" s="784"/>
      <c r="J4" s="781" t="s">
        <v>188</v>
      </c>
    </row>
    <row r="5" spans="2:10" ht="42" thickBot="1">
      <c r="B5" s="785" t="s">
        <v>510</v>
      </c>
      <c r="C5" s="786"/>
      <c r="D5" s="787" t="s">
        <v>511</v>
      </c>
      <c r="E5" s="788" t="s">
        <v>167</v>
      </c>
      <c r="F5" s="789" t="s">
        <v>512</v>
      </c>
    </row>
    <row r="6" spans="2:10" ht="16.899999999999999">
      <c r="B6" s="790" t="s">
        <v>513</v>
      </c>
      <c r="C6" s="791" t="s">
        <v>514</v>
      </c>
      <c r="D6" s="792"/>
      <c r="E6" s="793">
        <f>365*2</f>
        <v>730</v>
      </c>
      <c r="F6" s="794"/>
      <c r="G6" s="795"/>
      <c r="H6" s="796" t="s">
        <v>515</v>
      </c>
    </row>
    <row r="7" spans="2:10">
      <c r="B7" s="797" t="s">
        <v>516</v>
      </c>
      <c r="C7" s="798" t="s">
        <v>517</v>
      </c>
      <c r="D7" s="799"/>
      <c r="E7" s="800">
        <v>30</v>
      </c>
      <c r="F7" s="801"/>
      <c r="H7" t="s">
        <v>518</v>
      </c>
    </row>
    <row r="8" spans="2:10">
      <c r="B8" s="797" t="s">
        <v>519</v>
      </c>
      <c r="C8" s="798" t="s">
        <v>514</v>
      </c>
      <c r="D8" s="802"/>
      <c r="E8" s="800">
        <f>365*1.5</f>
        <v>547.5</v>
      </c>
      <c r="F8" s="801"/>
      <c r="H8" s="553" t="s">
        <v>520</v>
      </c>
    </row>
    <row r="9" spans="2:10">
      <c r="B9" s="797" t="s">
        <v>521</v>
      </c>
      <c r="C9" s="798" t="s">
        <v>517</v>
      </c>
      <c r="D9" s="799"/>
      <c r="E9" s="800">
        <v>70</v>
      </c>
      <c r="F9" s="801"/>
    </row>
    <row r="10" spans="2:10" ht="15" thickBot="1">
      <c r="B10" s="797" t="s">
        <v>522</v>
      </c>
      <c r="C10" s="798" t="s">
        <v>176</v>
      </c>
      <c r="D10" s="803"/>
      <c r="E10" s="804">
        <v>10</v>
      </c>
      <c r="F10" s="801"/>
      <c r="H10" s="805" t="s">
        <v>523</v>
      </c>
    </row>
    <row r="11" spans="2:10" ht="15" thickBot="1">
      <c r="B11" s="806" t="s">
        <v>524</v>
      </c>
      <c r="C11" s="807" t="s">
        <v>443</v>
      </c>
      <c r="D11" s="808">
        <f>(D6*D7+D8*D9)*D10/100*365</f>
        <v>0</v>
      </c>
      <c r="E11" s="809">
        <f>(E6*E7+E8*E9)*E10/100</f>
        <v>6022.5</v>
      </c>
      <c r="F11" s="810"/>
      <c r="H11" s="805" t="s">
        <v>525</v>
      </c>
    </row>
    <row r="12" spans="2:10" ht="15" thickBot="1">
      <c r="B12" s="811"/>
      <c r="C12" s="786"/>
      <c r="D12" s="786"/>
      <c r="E12" s="786"/>
      <c r="F12" s="786"/>
      <c r="H12" s="805" t="s">
        <v>526</v>
      </c>
    </row>
    <row r="13" spans="2:10">
      <c r="B13" s="790" t="s">
        <v>527</v>
      </c>
      <c r="C13" s="791" t="s">
        <v>517</v>
      </c>
      <c r="D13" s="812"/>
      <c r="E13" s="793">
        <v>20</v>
      </c>
      <c r="F13" s="794"/>
    </row>
    <row r="14" spans="2:10" ht="15" thickBot="1">
      <c r="B14" s="797" t="s">
        <v>528</v>
      </c>
      <c r="C14" s="798" t="s">
        <v>176</v>
      </c>
      <c r="D14" s="799"/>
      <c r="E14" s="800">
        <v>15</v>
      </c>
      <c r="F14" s="801"/>
      <c r="H14" s="805" t="s">
        <v>529</v>
      </c>
    </row>
    <row r="15" spans="2:10" ht="15" thickBot="1">
      <c r="B15" s="806" t="s">
        <v>530</v>
      </c>
      <c r="C15" s="807" t="s">
        <v>443</v>
      </c>
      <c r="D15" s="808">
        <f>D6*D13*D14/100*365</f>
        <v>0</v>
      </c>
      <c r="E15" s="809">
        <f>E6*E13*E14/100</f>
        <v>2190</v>
      </c>
      <c r="F15" s="810"/>
      <c r="H15" s="805" t="s">
        <v>531</v>
      </c>
    </row>
    <row r="16" spans="2:10">
      <c r="B16" s="786"/>
      <c r="C16" s="786"/>
      <c r="D16" s="786"/>
      <c r="E16" s="786"/>
      <c r="F16" s="786"/>
      <c r="H16" s="805" t="s">
        <v>532</v>
      </c>
    </row>
    <row r="17" spans="2:6">
      <c r="B17" s="786"/>
      <c r="C17" s="786"/>
      <c r="D17" s="786"/>
      <c r="E17" s="786"/>
      <c r="F17" s="786"/>
    </row>
    <row r="18" spans="2:6" ht="15" thickBot="1">
      <c r="B18" s="786"/>
      <c r="C18" s="786"/>
      <c r="D18" s="786"/>
      <c r="E18" s="786"/>
      <c r="F18" s="786"/>
    </row>
    <row r="19" spans="2:6" ht="42" thickBot="1">
      <c r="B19" s="813" t="s">
        <v>533</v>
      </c>
      <c r="C19" s="811"/>
      <c r="D19" s="787" t="s">
        <v>511</v>
      </c>
      <c r="E19" s="814" t="s">
        <v>167</v>
      </c>
      <c r="F19" s="789" t="s">
        <v>512</v>
      </c>
    </row>
    <row r="20" spans="2:6">
      <c r="B20" s="790" t="s">
        <v>513</v>
      </c>
      <c r="C20" s="791" t="s">
        <v>514</v>
      </c>
      <c r="D20" s="815"/>
      <c r="E20" s="793">
        <f>365*2</f>
        <v>730</v>
      </c>
      <c r="F20" s="794"/>
    </row>
    <row r="21" spans="2:6">
      <c r="B21" s="797" t="s">
        <v>516</v>
      </c>
      <c r="C21" s="798" t="s">
        <v>517</v>
      </c>
      <c r="D21" s="799"/>
      <c r="E21" s="800">
        <v>0.25</v>
      </c>
      <c r="F21" s="801"/>
    </row>
    <row r="22" spans="2:6">
      <c r="B22" s="797" t="s">
        <v>519</v>
      </c>
      <c r="C22" s="798" t="s">
        <v>514</v>
      </c>
      <c r="D22" s="802"/>
      <c r="E22" s="800">
        <f>365*1.5</f>
        <v>547.5</v>
      </c>
      <c r="F22" s="801"/>
    </row>
    <row r="23" spans="2:6">
      <c r="B23" s="797" t="s">
        <v>521</v>
      </c>
      <c r="C23" s="798" t="s">
        <v>517</v>
      </c>
      <c r="D23" s="799"/>
      <c r="E23" s="800">
        <v>1</v>
      </c>
      <c r="F23" s="801"/>
    </row>
    <row r="24" spans="2:6" ht="15" thickBot="1">
      <c r="B24" s="797" t="s">
        <v>522</v>
      </c>
      <c r="C24" s="798" t="s">
        <v>176</v>
      </c>
      <c r="D24" s="803"/>
      <c r="E24" s="804">
        <v>10</v>
      </c>
      <c r="F24" s="801"/>
    </row>
    <row r="25" spans="2:6" ht="15" thickBot="1">
      <c r="B25" s="806" t="s">
        <v>524</v>
      </c>
      <c r="C25" s="807" t="s">
        <v>443</v>
      </c>
      <c r="D25" s="808">
        <f>(D20*D21+D22*D23)*D24/100*365</f>
        <v>0</v>
      </c>
      <c r="E25" s="809">
        <f>(E20*E21+E22*E23)*E24/100</f>
        <v>73</v>
      </c>
      <c r="F25" s="810"/>
    </row>
    <row r="26" spans="2:6" ht="15" thickBot="1">
      <c r="B26" s="811"/>
      <c r="C26" s="786"/>
      <c r="D26" s="786"/>
      <c r="E26" s="786"/>
      <c r="F26" s="786"/>
    </row>
    <row r="27" spans="2:6">
      <c r="B27" s="790" t="s">
        <v>527</v>
      </c>
      <c r="C27" s="791" t="s">
        <v>517</v>
      </c>
      <c r="D27" s="812"/>
      <c r="E27" s="793">
        <v>0.15</v>
      </c>
      <c r="F27" s="794"/>
    </row>
    <row r="28" spans="2:6" ht="15" thickBot="1">
      <c r="B28" s="797" t="s">
        <v>528</v>
      </c>
      <c r="C28" s="798" t="s">
        <v>176</v>
      </c>
      <c r="D28" s="799"/>
      <c r="E28" s="800">
        <v>15</v>
      </c>
      <c r="F28" s="801"/>
    </row>
    <row r="29" spans="2:6" ht="15" thickBot="1">
      <c r="B29" s="806" t="s">
        <v>530</v>
      </c>
      <c r="C29" s="807" t="s">
        <v>443</v>
      </c>
      <c r="D29" s="808">
        <f>D20*D27*D28/100*365</f>
        <v>0</v>
      </c>
      <c r="E29" s="816">
        <f>E20*E27*E28/100</f>
        <v>16.425000000000001</v>
      </c>
      <c r="F29" s="810"/>
    </row>
    <row r="30" spans="2:6">
      <c r="B30" s="811"/>
      <c r="C30" s="786"/>
      <c r="D30" s="786"/>
      <c r="E30" s="786"/>
      <c r="F30" s="786"/>
    </row>
    <row r="31" spans="2:6">
      <c r="B31" s="811"/>
      <c r="C31" s="786"/>
      <c r="D31" s="786"/>
      <c r="E31" s="786"/>
      <c r="F31" s="786"/>
    </row>
    <row r="32" spans="2:6" ht="15" thickBot="1">
      <c r="B32" s="786"/>
      <c r="C32" s="786"/>
      <c r="D32" s="786"/>
      <c r="E32" s="786"/>
      <c r="F32" s="786"/>
    </row>
    <row r="33" spans="2:6" ht="42" thickBot="1">
      <c r="B33" s="813" t="s">
        <v>534</v>
      </c>
      <c r="C33" s="786"/>
      <c r="D33" s="787" t="s">
        <v>511</v>
      </c>
      <c r="E33" s="817" t="s">
        <v>167</v>
      </c>
      <c r="F33" s="789" t="s">
        <v>512</v>
      </c>
    </row>
    <row r="34" spans="2:6">
      <c r="B34" s="790" t="s">
        <v>535</v>
      </c>
      <c r="C34" s="818" t="s">
        <v>536</v>
      </c>
      <c r="D34" s="799"/>
      <c r="E34" s="793">
        <v>41487</v>
      </c>
      <c r="F34" s="794"/>
    </row>
    <row r="35" spans="2:6">
      <c r="B35" s="797" t="s">
        <v>537</v>
      </c>
      <c r="C35" s="819" t="s">
        <v>538</v>
      </c>
      <c r="D35" s="799"/>
      <c r="E35" s="800"/>
      <c r="F35" s="801"/>
    </row>
    <row r="36" spans="2:6">
      <c r="B36" s="797" t="s">
        <v>539</v>
      </c>
      <c r="C36" s="819" t="s">
        <v>176</v>
      </c>
      <c r="D36" s="799"/>
      <c r="E36" s="800">
        <v>35</v>
      </c>
      <c r="F36" s="801"/>
    </row>
    <row r="37" spans="2:6" ht="15" thickBot="1">
      <c r="B37" s="797" t="s">
        <v>540</v>
      </c>
      <c r="C37" s="819" t="str">
        <f>C36</f>
        <v>%</v>
      </c>
      <c r="D37" s="803"/>
      <c r="E37" s="804">
        <v>15</v>
      </c>
      <c r="F37" s="801"/>
    </row>
    <row r="38" spans="2:6" ht="15" thickBot="1">
      <c r="B38" s="820" t="s">
        <v>541</v>
      </c>
      <c r="C38" s="821" t="str">
        <f t="shared" ref="C38" si="0">C36</f>
        <v>%</v>
      </c>
      <c r="D38" s="822">
        <f>100-SUM(D36:D37)</f>
        <v>100</v>
      </c>
      <c r="E38" s="823">
        <f>100-SUM(E36:E37)</f>
        <v>50</v>
      </c>
      <c r="F38" s="810"/>
    </row>
    <row r="39" spans="2:6" ht="15" thickBot="1">
      <c r="B39" s="786"/>
      <c r="C39" s="786"/>
      <c r="D39" s="786"/>
      <c r="E39" s="786"/>
      <c r="F39" s="786"/>
    </row>
    <row r="40" spans="2:6">
      <c r="B40" s="790" t="s">
        <v>542</v>
      </c>
      <c r="C40" s="791" t="s">
        <v>176</v>
      </c>
      <c r="D40" s="824"/>
      <c r="E40" s="825">
        <v>5</v>
      </c>
      <c r="F40" s="794"/>
    </row>
    <row r="41" spans="2:6" ht="15" thickBot="1">
      <c r="B41" s="820" t="s">
        <v>543</v>
      </c>
      <c r="C41" s="821" t="s">
        <v>517</v>
      </c>
      <c r="D41" s="826">
        <f>D38*D40/100/100*$D$34/100</f>
        <v>0</v>
      </c>
      <c r="E41" s="827">
        <f>E38*E40/100/100*$E$34/100</f>
        <v>10.371749999999999</v>
      </c>
      <c r="F41" s="810"/>
    </row>
    <row r="42" spans="2:6">
      <c r="B42" s="786"/>
      <c r="C42" s="786"/>
      <c r="D42" s="786"/>
      <c r="E42" s="786"/>
      <c r="F42" s="786"/>
    </row>
    <row r="43" spans="2:6" ht="16.149999999999999" thickBot="1">
      <c r="B43" s="828" t="s">
        <v>544</v>
      </c>
      <c r="C43" s="786"/>
      <c r="D43" s="786"/>
      <c r="E43" s="786"/>
      <c r="F43" s="786"/>
    </row>
    <row r="44" spans="2:6">
      <c r="B44" s="790" t="s">
        <v>545</v>
      </c>
      <c r="C44" s="791" t="s">
        <v>514</v>
      </c>
      <c r="D44" s="792"/>
      <c r="E44" s="793">
        <f>365*2</f>
        <v>730</v>
      </c>
      <c r="F44" s="794"/>
    </row>
    <row r="45" spans="2:6" ht="15" thickBot="1">
      <c r="B45" s="797" t="s">
        <v>522</v>
      </c>
      <c r="C45" s="798" t="s">
        <v>176</v>
      </c>
      <c r="D45" s="799"/>
      <c r="E45" s="800">
        <v>10</v>
      </c>
      <c r="F45" s="801"/>
    </row>
    <row r="46" spans="2:6" ht="15" thickBot="1">
      <c r="B46" s="806" t="s">
        <v>524</v>
      </c>
      <c r="C46" s="807" t="s">
        <v>443</v>
      </c>
      <c r="D46" s="808">
        <f>D41*D44*D45/100*365</f>
        <v>0</v>
      </c>
      <c r="E46" s="829">
        <f>E41*E44*E45/100</f>
        <v>757.13774999999998</v>
      </c>
      <c r="F46" s="810"/>
    </row>
    <row r="49" spans="2:2" ht="15" thickBot="1"/>
    <row r="50" spans="2:2" ht="18" thickBot="1">
      <c r="B50" s="830" t="s">
        <v>546</v>
      </c>
    </row>
    <row r="51" spans="2:2">
      <c r="B51" s="831" t="s">
        <v>513</v>
      </c>
    </row>
    <row r="52" spans="2:2">
      <c r="B52" s="832" t="s">
        <v>547</v>
      </c>
    </row>
    <row r="53" spans="2:2">
      <c r="B53" s="832" t="s">
        <v>519</v>
      </c>
    </row>
    <row r="54" spans="2:2">
      <c r="B54" s="832" t="s">
        <v>548</v>
      </c>
    </row>
    <row r="55" spans="2:2">
      <c r="B55" s="832" t="s">
        <v>549</v>
      </c>
    </row>
    <row r="56" spans="2:2">
      <c r="B56" s="832" t="s">
        <v>550</v>
      </c>
    </row>
    <row r="57" spans="2:2">
      <c r="B57" s="832" t="s">
        <v>528</v>
      </c>
    </row>
    <row r="58" spans="2:2">
      <c r="B58" s="832" t="s">
        <v>551</v>
      </c>
    </row>
    <row r="59" spans="2:2">
      <c r="B59" s="832" t="s">
        <v>552</v>
      </c>
    </row>
    <row r="60" spans="2:2">
      <c r="B60" s="832" t="s">
        <v>553</v>
      </c>
    </row>
    <row r="61" spans="2:2">
      <c r="B61" s="832" t="s">
        <v>535</v>
      </c>
    </row>
    <row r="62" spans="2:2">
      <c r="B62" s="832" t="s">
        <v>537</v>
      </c>
    </row>
    <row r="63" spans="2:2">
      <c r="B63" s="832" t="s">
        <v>539</v>
      </c>
    </row>
    <row r="64" spans="2:2">
      <c r="B64" s="832" t="s">
        <v>540</v>
      </c>
    </row>
    <row r="65" spans="2:2">
      <c r="B65" s="832" t="s">
        <v>542</v>
      </c>
    </row>
    <row r="66" spans="2:2" ht="15" thickBot="1">
      <c r="B66" s="833" t="s">
        <v>554</v>
      </c>
    </row>
  </sheetData>
  <dataValidations count="1">
    <dataValidation type="decimal" operator="greaterThanOrEqual" allowBlank="1" showInputMessage="1" showErrorMessage="1" errorTitle="Error" error="Negative number is not allowed" sqref="C39" xr:uid="{B4D957D3-24D3-4535-848A-50081D7CEDD0}">
      <formula1>0</formula1>
    </dataValidation>
  </dataValidations>
  <hyperlinks>
    <hyperlink ref="H8" r:id="rId1" xr:uid="{598BAA2A-0198-46D7-A306-F9ADAADC5C75}"/>
  </hyperlinks>
  <pageMargins left="0.7" right="0.7" top="0.78740157499999996" bottom="0.78740157499999996" header="0.3" footer="0.3"/>
  <pageSetup paperSize="9" orientation="portrait"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7D55-18FC-442E-818B-D3B2078BF728}">
  <dimension ref="B3:O37"/>
  <sheetViews>
    <sheetView topLeftCell="A5" zoomScale="85" zoomScaleNormal="85" workbookViewId="0">
      <selection activeCell="B24" sqref="B24"/>
    </sheetView>
  </sheetViews>
  <sheetFormatPr defaultColWidth="9.140625" defaultRowHeight="14.45"/>
  <cols>
    <col min="2" max="2" width="62.85546875" bestFit="1" customWidth="1"/>
    <col min="4" max="4" width="21.28515625" customWidth="1"/>
    <col min="5" max="5" width="10.42578125" bestFit="1" customWidth="1"/>
    <col min="6" max="6" width="35" customWidth="1"/>
  </cols>
  <sheetData>
    <row r="3" spans="2:15" ht="15.6">
      <c r="B3" s="828" t="s">
        <v>555</v>
      </c>
      <c r="L3" s="780"/>
      <c r="M3" s="781" t="s">
        <v>181</v>
      </c>
    </row>
    <row r="4" spans="2:15" ht="15" thickBot="1">
      <c r="L4" s="782"/>
      <c r="M4" s="781" t="s">
        <v>222</v>
      </c>
    </row>
    <row r="5" spans="2:15" ht="42" thickBot="1">
      <c r="B5" s="813" t="s">
        <v>534</v>
      </c>
      <c r="D5" s="834" t="s">
        <v>511</v>
      </c>
      <c r="E5" s="835" t="s">
        <v>167</v>
      </c>
      <c r="F5" s="789" t="s">
        <v>512</v>
      </c>
      <c r="L5" s="386"/>
      <c r="M5" s="781" t="s">
        <v>186</v>
      </c>
    </row>
    <row r="6" spans="2:15">
      <c r="B6" s="790" t="s">
        <v>556</v>
      </c>
      <c r="C6" s="818" t="s">
        <v>536</v>
      </c>
      <c r="D6" s="812"/>
      <c r="E6" s="836">
        <v>41487</v>
      </c>
      <c r="F6" s="794"/>
      <c r="L6" s="784"/>
      <c r="M6" s="781" t="s">
        <v>188</v>
      </c>
    </row>
    <row r="7" spans="2:15">
      <c r="B7" s="797" t="s">
        <v>537</v>
      </c>
      <c r="C7" s="819" t="s">
        <v>538</v>
      </c>
      <c r="D7" s="819"/>
      <c r="E7" s="837"/>
      <c r="F7" s="801"/>
    </row>
    <row r="8" spans="2:15">
      <c r="B8" s="797" t="s">
        <v>539</v>
      </c>
      <c r="C8" s="819" t="s">
        <v>176</v>
      </c>
      <c r="D8" s="799"/>
      <c r="E8" s="838">
        <v>35</v>
      </c>
      <c r="F8" s="801"/>
    </row>
    <row r="9" spans="2:15" ht="15" thickBot="1">
      <c r="B9" s="797" t="s">
        <v>540</v>
      </c>
      <c r="C9" s="819" t="str">
        <f>C8</f>
        <v>%</v>
      </c>
      <c r="D9" s="803"/>
      <c r="E9" s="839">
        <v>15</v>
      </c>
      <c r="F9" s="801"/>
      <c r="L9">
        <v>360</v>
      </c>
      <c r="M9" t="s">
        <v>557</v>
      </c>
    </row>
    <row r="10" spans="2:15" ht="15" thickBot="1">
      <c r="B10" s="820" t="s">
        <v>558</v>
      </c>
      <c r="C10" s="821" t="str">
        <f t="shared" ref="C10" si="0">C8</f>
        <v>%</v>
      </c>
      <c r="D10" s="840">
        <f>100-SUM(D8:D9)</f>
        <v>100</v>
      </c>
      <c r="E10" s="841">
        <f>100-SUM(E8:E9)</f>
        <v>50</v>
      </c>
      <c r="F10" s="810"/>
      <c r="L10">
        <f>L9/(1000000/10000)</f>
        <v>3.6</v>
      </c>
      <c r="M10" t="s">
        <v>559</v>
      </c>
      <c r="O10" t="s">
        <v>560</v>
      </c>
    </row>
    <row r="11" spans="2:15" ht="15" thickBot="1">
      <c r="E11" s="4"/>
    </row>
    <row r="12" spans="2:15">
      <c r="B12" s="790" t="s">
        <v>561</v>
      </c>
      <c r="C12" s="818" t="s">
        <v>176</v>
      </c>
      <c r="D12" s="842"/>
      <c r="E12" s="843">
        <v>5</v>
      </c>
      <c r="F12" s="794"/>
    </row>
    <row r="13" spans="2:15" ht="15" thickBot="1">
      <c r="B13" s="797" t="s">
        <v>562</v>
      </c>
      <c r="C13" s="819" t="s">
        <v>536</v>
      </c>
      <c r="D13" s="844">
        <f>D10*D12*$D$6/100/100</f>
        <v>0</v>
      </c>
      <c r="E13" s="827">
        <f>E10*E12*$E$6/100/100</f>
        <v>1037.175</v>
      </c>
      <c r="F13" s="801"/>
    </row>
    <row r="14" spans="2:15" ht="15.6">
      <c r="B14" s="797" t="s">
        <v>563</v>
      </c>
      <c r="C14" s="819" t="s">
        <v>564</v>
      </c>
      <c r="D14" s="845"/>
      <c r="E14" s="843">
        <f>L10</f>
        <v>3.6</v>
      </c>
      <c r="F14" s="801"/>
      <c r="H14" s="354" t="s">
        <v>565</v>
      </c>
      <c r="I14" s="353"/>
      <c r="J14" s="353"/>
      <c r="K14" s="353"/>
      <c r="L14" s="353"/>
      <c r="M14" s="353"/>
      <c r="N14" s="353"/>
    </row>
    <row r="15" spans="2:15" ht="16.149999999999999" thickBot="1">
      <c r="B15" s="797" t="s">
        <v>566</v>
      </c>
      <c r="C15" s="819" t="s">
        <v>497</v>
      </c>
      <c r="D15" s="844">
        <f>D13*D14</f>
        <v>0</v>
      </c>
      <c r="E15" s="827">
        <f>E13*E14</f>
        <v>3733.83</v>
      </c>
      <c r="F15" s="801"/>
      <c r="H15" s="846" t="s">
        <v>567</v>
      </c>
      <c r="L15" s="553" t="s">
        <v>568</v>
      </c>
    </row>
    <row r="16" spans="2:15">
      <c r="B16" s="797" t="s">
        <v>569</v>
      </c>
      <c r="C16" s="819" t="s">
        <v>176</v>
      </c>
      <c r="D16" s="845"/>
      <c r="E16" s="843">
        <v>20</v>
      </c>
      <c r="F16" s="801"/>
    </row>
    <row r="17" spans="2:15" ht="15" thickBot="1">
      <c r="B17" s="820" t="s">
        <v>570</v>
      </c>
      <c r="C17" s="847" t="s">
        <v>443</v>
      </c>
      <c r="D17" s="848">
        <f>D15*D16/100*8.76</f>
        <v>0</v>
      </c>
      <c r="E17" s="849">
        <f>E15*E16/100*8.76</f>
        <v>6541.6701600000006</v>
      </c>
      <c r="F17" s="810"/>
      <c r="J17" s="186"/>
      <c r="K17" s="186"/>
      <c r="L17" s="186"/>
      <c r="M17" s="186"/>
      <c r="N17" s="186"/>
      <c r="O17" s="186"/>
    </row>
    <row r="24" spans="2:15">
      <c r="B24" s="850" t="s">
        <v>571</v>
      </c>
    </row>
    <row r="25" spans="2:15">
      <c r="B25" t="s">
        <v>572</v>
      </c>
    </row>
    <row r="29" spans="2:15" ht="15" thickBot="1"/>
    <row r="30" spans="2:15" ht="18" thickBot="1">
      <c r="B30" s="830" t="s">
        <v>546</v>
      </c>
    </row>
    <row r="31" spans="2:15">
      <c r="B31" s="831" t="s">
        <v>556</v>
      </c>
    </row>
    <row r="32" spans="2:15">
      <c r="B32" s="832" t="s">
        <v>537</v>
      </c>
    </row>
    <row r="33" spans="2:2">
      <c r="B33" s="832" t="s">
        <v>539</v>
      </c>
    </row>
    <row r="34" spans="2:2">
      <c r="B34" s="832" t="s">
        <v>540</v>
      </c>
    </row>
    <row r="35" spans="2:2">
      <c r="B35" s="832" t="s">
        <v>561</v>
      </c>
    </row>
    <row r="36" spans="2:2">
      <c r="B36" s="832" t="s">
        <v>563</v>
      </c>
    </row>
    <row r="37" spans="2:2" ht="15" thickBot="1">
      <c r="B37" s="833" t="s">
        <v>569</v>
      </c>
    </row>
  </sheetData>
  <dataValidations count="1">
    <dataValidation type="decimal" operator="greaterThanOrEqual" allowBlank="1" showInputMessage="1" showErrorMessage="1" errorTitle="Error" error="Negative number is not allowed" sqref="C28" xr:uid="{D27FD714-AA27-4D39-9AB0-0252A35E8338}">
      <formula1>0</formula1>
    </dataValidation>
  </dataValidations>
  <hyperlinks>
    <hyperlink ref="L15" r:id="rId1" xr:uid="{11134D0B-8064-4012-8F8E-63B87D551896}"/>
  </hyperlinks>
  <pageMargins left="0.7" right="0.7" top="0.75" bottom="0.75" header="0.3" footer="0.3"/>
  <pageSetup paperSize="9" orientation="portrait"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022F-2EAC-4082-94FF-F11A36715487}">
  <dimension ref="B2:I28"/>
  <sheetViews>
    <sheetView workbookViewId="0">
      <selection activeCell="C22" sqref="C22"/>
    </sheetView>
  </sheetViews>
  <sheetFormatPr defaultColWidth="9.140625" defaultRowHeight="14.45"/>
  <cols>
    <col min="2" max="2" width="38.28515625" customWidth="1"/>
    <col min="4" max="4" width="20.28515625" customWidth="1"/>
    <col min="6" max="6" width="38.85546875" customWidth="1"/>
  </cols>
  <sheetData>
    <row r="2" spans="2:9">
      <c r="H2" s="780"/>
      <c r="I2" s="781" t="s">
        <v>181</v>
      </c>
    </row>
    <row r="3" spans="2:9">
      <c r="H3" s="782"/>
      <c r="I3" s="781" t="s">
        <v>222</v>
      </c>
    </row>
    <row r="4" spans="2:9" ht="18" thickBot="1">
      <c r="B4" s="783" t="s">
        <v>573</v>
      </c>
      <c r="H4" s="386"/>
      <c r="I4" s="781" t="s">
        <v>186</v>
      </c>
    </row>
    <row r="5" spans="2:9" ht="42" thickBot="1">
      <c r="B5" s="851" t="s">
        <v>168</v>
      </c>
      <c r="C5" s="851"/>
      <c r="D5" s="834" t="s">
        <v>511</v>
      </c>
      <c r="E5" s="814" t="s">
        <v>167</v>
      </c>
      <c r="F5" s="789" t="s">
        <v>512</v>
      </c>
      <c r="H5" s="784"/>
      <c r="I5" s="781" t="s">
        <v>188</v>
      </c>
    </row>
    <row r="6" spans="2:9">
      <c r="B6" s="852" t="s">
        <v>574</v>
      </c>
      <c r="C6" s="853" t="s">
        <v>443</v>
      </c>
      <c r="D6" s="799"/>
      <c r="E6" s="786">
        <v>40</v>
      </c>
      <c r="F6" s="794"/>
    </row>
    <row r="7" spans="2:9">
      <c r="B7" s="852" t="s">
        <v>575</v>
      </c>
      <c r="C7" s="853" t="s">
        <v>443</v>
      </c>
      <c r="D7" s="799"/>
      <c r="E7" s="786">
        <v>20</v>
      </c>
      <c r="F7" s="801"/>
      <c r="H7" s="3" t="s">
        <v>576</v>
      </c>
    </row>
    <row r="8" spans="2:9">
      <c r="B8" s="852" t="s">
        <v>485</v>
      </c>
      <c r="C8" s="853" t="s">
        <v>443</v>
      </c>
      <c r="D8" s="799"/>
      <c r="E8" s="786">
        <v>12</v>
      </c>
      <c r="F8" s="801"/>
    </row>
    <row r="9" spans="2:9">
      <c r="B9" s="852" t="s">
        <v>577</v>
      </c>
      <c r="C9" s="853" t="s">
        <v>443</v>
      </c>
      <c r="D9" s="799"/>
      <c r="E9" s="786">
        <v>4</v>
      </c>
      <c r="F9" s="801"/>
    </row>
    <row r="10" spans="2:9" ht="15" thickBot="1">
      <c r="B10" s="854" t="s">
        <v>578</v>
      </c>
      <c r="C10" s="855" t="s">
        <v>443</v>
      </c>
      <c r="D10" s="803"/>
      <c r="E10" s="856">
        <v>1</v>
      </c>
      <c r="F10" s="801"/>
    </row>
    <row r="11" spans="2:9" ht="15" thickBot="1">
      <c r="B11" s="857" t="s">
        <v>579</v>
      </c>
      <c r="C11" s="858" t="s">
        <v>443</v>
      </c>
      <c r="D11" s="859">
        <f>SUM(D6:D10)</f>
        <v>0</v>
      </c>
      <c r="E11" s="860">
        <f>SUM(E6:E10)</f>
        <v>77</v>
      </c>
      <c r="F11" s="810"/>
    </row>
    <row r="19" spans="2:6">
      <c r="B19" s="861"/>
      <c r="C19" s="811"/>
      <c r="D19" s="811"/>
      <c r="E19" s="811"/>
      <c r="F19" s="786"/>
    </row>
    <row r="22" spans="2:6" ht="15" thickBot="1"/>
    <row r="23" spans="2:6" ht="18" thickBot="1">
      <c r="B23" s="830" t="s">
        <v>546</v>
      </c>
    </row>
    <row r="24" spans="2:6">
      <c r="B24" s="831" t="s">
        <v>580</v>
      </c>
    </row>
    <row r="25" spans="2:6">
      <c r="B25" s="832" t="s">
        <v>581</v>
      </c>
    </row>
    <row r="26" spans="2:6">
      <c r="B26" s="832" t="s">
        <v>582</v>
      </c>
    </row>
    <row r="27" spans="2:6">
      <c r="B27" s="832" t="s">
        <v>583</v>
      </c>
    </row>
    <row r="28" spans="2:6" ht="15" thickBot="1">
      <c r="B28" s="833" t="s">
        <v>584</v>
      </c>
    </row>
  </sheetData>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B575-5C69-4885-A007-EFDEA97511D8}">
  <sheetPr>
    <tabColor rgb="FF92D050"/>
  </sheetPr>
  <dimension ref="A2:W39"/>
  <sheetViews>
    <sheetView showGridLines="0" topLeftCell="E1" zoomScale="90" zoomScaleNormal="90" workbookViewId="0">
      <selection activeCell="N5" sqref="N5:O5"/>
    </sheetView>
  </sheetViews>
  <sheetFormatPr defaultColWidth="11.42578125" defaultRowHeight="14.45"/>
  <cols>
    <col min="2" max="2" width="28" customWidth="1"/>
    <col min="4" max="4" width="13.85546875" customWidth="1"/>
    <col min="5" max="5" width="20.85546875" customWidth="1"/>
    <col min="6" max="6" width="14" customWidth="1"/>
    <col min="7" max="7" width="8.7109375" customWidth="1"/>
    <col min="8" max="8" width="11.140625" customWidth="1"/>
    <col min="9" max="9" width="14.42578125" customWidth="1"/>
    <col min="10" max="10" width="11.140625" customWidth="1"/>
    <col min="14" max="14" width="16.28515625" customWidth="1"/>
    <col min="15" max="15" width="13.7109375" customWidth="1"/>
  </cols>
  <sheetData>
    <row r="2" spans="1:23" s="192" customFormat="1" ht="15" thickBot="1">
      <c r="A2" s="187"/>
      <c r="B2" s="188"/>
      <c r="C2" s="189"/>
      <c r="D2" s="190"/>
      <c r="E2" s="189"/>
      <c r="F2" s="191"/>
      <c r="G2" s="191"/>
    </row>
    <row r="3" spans="1:23" s="192" customFormat="1" ht="18.600000000000001" thickBot="1">
      <c r="A3" s="187"/>
      <c r="B3" s="927" t="s">
        <v>585</v>
      </c>
      <c r="C3" s="928"/>
      <c r="D3" s="928"/>
      <c r="E3" s="928"/>
      <c r="F3" s="928"/>
      <c r="G3" s="928"/>
      <c r="H3" s="928"/>
      <c r="I3" s="928"/>
      <c r="J3" s="928"/>
      <c r="K3" s="928"/>
      <c r="L3" s="928"/>
      <c r="M3" s="928"/>
      <c r="N3" s="928"/>
      <c r="O3" s="928"/>
      <c r="P3" s="928"/>
      <c r="Q3" s="928"/>
      <c r="R3" s="928"/>
      <c r="S3" s="928"/>
      <c r="T3" s="928"/>
      <c r="U3" s="929"/>
    </row>
    <row r="4" spans="1:23" s="192" customFormat="1" ht="15" customHeight="1" thickBot="1">
      <c r="A4" s="187"/>
      <c r="B4" s="193" t="s">
        <v>443</v>
      </c>
      <c r="C4" s="930" t="s">
        <v>586</v>
      </c>
      <c r="D4" s="931"/>
      <c r="E4" s="931"/>
      <c r="F4" s="931"/>
      <c r="G4" s="931"/>
      <c r="H4" s="931"/>
      <c r="I4" s="931"/>
      <c r="J4" s="932"/>
      <c r="K4" s="194"/>
      <c r="L4" s="195"/>
      <c r="M4" s="195"/>
      <c r="N4" s="195"/>
      <c r="O4" s="195"/>
      <c r="P4" s="195"/>
      <c r="Q4" s="195"/>
      <c r="R4" s="195"/>
      <c r="S4" s="196"/>
      <c r="T4" s="196"/>
    </row>
    <row r="5" spans="1:23" s="192" customFormat="1" ht="48.6" thickBot="1">
      <c r="A5" s="187"/>
      <c r="B5" s="197" t="s">
        <v>587</v>
      </c>
      <c r="C5" s="198" t="s">
        <v>134</v>
      </c>
      <c r="D5" s="199" t="s">
        <v>141</v>
      </c>
      <c r="E5" s="199" t="s">
        <v>588</v>
      </c>
      <c r="F5" s="200" t="s">
        <v>135</v>
      </c>
      <c r="G5" s="199" t="s">
        <v>136</v>
      </c>
      <c r="H5" s="199" t="s">
        <v>137</v>
      </c>
      <c r="I5" s="201" t="s">
        <v>589</v>
      </c>
      <c r="J5" s="201" t="s">
        <v>139</v>
      </c>
      <c r="K5" s="202" t="s">
        <v>590</v>
      </c>
      <c r="L5" s="198" t="s">
        <v>83</v>
      </c>
      <c r="M5" s="199" t="s">
        <v>129</v>
      </c>
      <c r="N5" s="199" t="s">
        <v>591</v>
      </c>
      <c r="O5" s="201" t="s">
        <v>144</v>
      </c>
      <c r="P5" s="202" t="s">
        <v>592</v>
      </c>
      <c r="Q5" s="198" t="s">
        <v>147</v>
      </c>
      <c r="R5" s="198" t="s">
        <v>148</v>
      </c>
      <c r="S5" s="199" t="s">
        <v>593</v>
      </c>
      <c r="T5" s="203" t="s">
        <v>145</v>
      </c>
      <c r="U5" s="204" t="s">
        <v>594</v>
      </c>
    </row>
    <row r="6" spans="1:23" s="192" customFormat="1">
      <c r="A6" s="187"/>
      <c r="B6" s="205" t="s">
        <v>149</v>
      </c>
      <c r="C6" s="206">
        <v>1.9398823439621196</v>
      </c>
      <c r="D6" s="207">
        <v>0.01</v>
      </c>
      <c r="E6" s="207">
        <v>0.165980545974272</v>
      </c>
      <c r="F6" s="208">
        <v>1.1470155102515501E-2</v>
      </c>
      <c r="G6" s="207">
        <v>1.2130590035307408E-2</v>
      </c>
      <c r="H6" s="207">
        <v>4.5802279431326224E-3</v>
      </c>
      <c r="I6" s="209">
        <v>0</v>
      </c>
      <c r="J6" s="210">
        <v>1.9366829569248192E-3</v>
      </c>
      <c r="K6" s="211">
        <v>2.1459805459742718</v>
      </c>
      <c r="L6" s="206">
        <v>1.8805680474852079E-2</v>
      </c>
      <c r="M6" s="207">
        <v>1.0275141931045921</v>
      </c>
      <c r="N6" s="207">
        <v>6.6988434895231073E-3</v>
      </c>
      <c r="O6" s="210">
        <v>1.2485806895407911E-2</v>
      </c>
      <c r="P6" s="211">
        <v>1.0655045239643752</v>
      </c>
      <c r="Q6" s="206"/>
      <c r="R6" s="206">
        <v>0.59027175812107791</v>
      </c>
      <c r="S6" s="212">
        <v>0</v>
      </c>
      <c r="T6" s="209">
        <v>0</v>
      </c>
      <c r="U6" s="213">
        <v>3.8017568280597249</v>
      </c>
    </row>
    <row r="7" spans="1:23" s="192" customFormat="1">
      <c r="A7" s="187"/>
      <c r="B7" s="205" t="s">
        <v>152</v>
      </c>
      <c r="C7" s="214">
        <v>128.53629479049138</v>
      </c>
      <c r="D7" s="215">
        <v>2.0404144935629337E-2</v>
      </c>
      <c r="E7" s="215">
        <v>2.0078257489645361</v>
      </c>
      <c r="F7" s="215">
        <v>1.2972986508761022</v>
      </c>
      <c r="G7" s="215">
        <v>1.9297605391440535</v>
      </c>
      <c r="H7" s="215">
        <v>9.1619371338006061</v>
      </c>
      <c r="I7" s="216">
        <v>18.965344922598764</v>
      </c>
      <c r="J7" s="216">
        <v>3.9560241500202058</v>
      </c>
      <c r="K7" s="217">
        <v>165.87489008083128</v>
      </c>
      <c r="L7" s="214">
        <v>0.80034715581081228</v>
      </c>
      <c r="M7" s="215">
        <v>91.98</v>
      </c>
      <c r="N7" s="216">
        <v>2.0570929693494173E-2</v>
      </c>
      <c r="O7" s="216">
        <v>4.4008139804086535E-2</v>
      </c>
      <c r="P7" s="217">
        <v>92.844926225308399</v>
      </c>
      <c r="Q7" s="214"/>
      <c r="R7" s="214">
        <v>25.880178237354329</v>
      </c>
      <c r="S7" s="218">
        <v>0</v>
      </c>
      <c r="T7" s="241">
        <v>0</v>
      </c>
      <c r="U7" s="219">
        <v>284.59999454349406</v>
      </c>
    </row>
    <row r="8" spans="1:23" s="192" customFormat="1">
      <c r="A8" s="187"/>
      <c r="B8" s="205" t="s">
        <v>150</v>
      </c>
      <c r="C8" s="214">
        <v>1.7952648019108604</v>
      </c>
      <c r="D8" s="215">
        <v>2.0361402526523516E-2</v>
      </c>
      <c r="E8" s="215">
        <v>3.3584765574485571</v>
      </c>
      <c r="F8" s="215">
        <v>0.36741927719158513</v>
      </c>
      <c r="G8" s="215">
        <v>0.27919173701296629</v>
      </c>
      <c r="H8" s="218">
        <v>0</v>
      </c>
      <c r="I8" s="220">
        <v>0</v>
      </c>
      <c r="J8" s="220">
        <v>0</v>
      </c>
      <c r="K8" s="217">
        <v>5.8207137760904919</v>
      </c>
      <c r="L8" s="214">
        <v>0.04</v>
      </c>
      <c r="M8" s="215">
        <v>0.95936195855571005</v>
      </c>
      <c r="N8" s="218"/>
      <c r="O8" s="216">
        <v>6.8564507562175773E-3</v>
      </c>
      <c r="P8" s="217">
        <v>1.0062184093119277</v>
      </c>
      <c r="Q8" s="221"/>
      <c r="R8" s="221">
        <v>0</v>
      </c>
      <c r="S8" s="215">
        <v>0.15</v>
      </c>
      <c r="T8" s="220">
        <v>0</v>
      </c>
      <c r="U8" s="219">
        <v>6.9769321854024202</v>
      </c>
    </row>
    <row r="9" spans="1:23" s="192" customFormat="1" ht="15" thickBot="1">
      <c r="A9" s="187"/>
      <c r="B9" s="222" t="s">
        <v>151</v>
      </c>
      <c r="C9" s="223">
        <v>0</v>
      </c>
      <c r="D9" s="224">
        <v>0</v>
      </c>
      <c r="E9" s="224">
        <v>0</v>
      </c>
      <c r="F9" s="224">
        <v>0</v>
      </c>
      <c r="G9" s="224">
        <v>0</v>
      </c>
      <c r="H9" s="224">
        <v>0</v>
      </c>
      <c r="I9" s="225">
        <v>0</v>
      </c>
      <c r="J9" s="225">
        <v>0</v>
      </c>
      <c r="K9" s="226">
        <v>0</v>
      </c>
      <c r="L9" s="223">
        <v>0</v>
      </c>
      <c r="M9" s="224">
        <v>0</v>
      </c>
      <c r="N9" s="224">
        <v>0</v>
      </c>
      <c r="O9" s="225">
        <v>0</v>
      </c>
      <c r="P9" s="226">
        <v>0</v>
      </c>
      <c r="Q9" s="223"/>
      <c r="R9" s="223">
        <v>0</v>
      </c>
      <c r="S9" s="224">
        <v>0</v>
      </c>
      <c r="T9" s="225">
        <v>0</v>
      </c>
      <c r="U9" s="227">
        <v>0</v>
      </c>
      <c r="W9" s="187"/>
    </row>
    <row r="10" spans="1:23" s="192" customFormat="1" ht="33.75" customHeight="1" thickTop="1" thickBot="1">
      <c r="A10" s="187"/>
      <c r="B10" s="228" t="s">
        <v>595</v>
      </c>
      <c r="C10" s="229">
        <v>132.27144193636437</v>
      </c>
      <c r="D10" s="229">
        <v>5.0765547462152859E-2</v>
      </c>
      <c r="E10" s="229">
        <v>5.5322828523873655</v>
      </c>
      <c r="F10" s="229">
        <v>1.676188083170203</v>
      </c>
      <c r="G10" s="229">
        <v>2.2210828661923272</v>
      </c>
      <c r="H10" s="229">
        <v>9.1665173617437397</v>
      </c>
      <c r="I10" s="230">
        <v>18.965344922598764</v>
      </c>
      <c r="J10" s="230">
        <v>3.9579608329771307</v>
      </c>
      <c r="K10" s="231">
        <v>173.84158440289605</v>
      </c>
      <c r="L10" s="229">
        <v>0.85915283628566441</v>
      </c>
      <c r="M10" s="229">
        <v>93.966876151660301</v>
      </c>
      <c r="N10" s="229">
        <v>2.7269773183017279E-2</v>
      </c>
      <c r="O10" s="230">
        <v>6.3350397455712026E-2</v>
      </c>
      <c r="P10" s="231">
        <v>94.91664915858469</v>
      </c>
      <c r="Q10" s="229"/>
      <c r="R10" s="229">
        <v>26.470449995475406</v>
      </c>
      <c r="S10" s="229">
        <v>0.15</v>
      </c>
      <c r="T10" s="296">
        <v>0</v>
      </c>
      <c r="U10" s="232">
        <v>295.37868355695622</v>
      </c>
      <c r="W10" s="233"/>
    </row>
    <row r="11" spans="1:23" s="192" customFormat="1">
      <c r="A11" s="187"/>
      <c r="B11" s="234" t="s">
        <v>596</v>
      </c>
      <c r="C11" s="235">
        <v>0</v>
      </c>
      <c r="D11" s="212">
        <v>0</v>
      </c>
      <c r="E11" s="207">
        <v>17.874817223659882</v>
      </c>
      <c r="F11" s="212">
        <v>0</v>
      </c>
      <c r="G11" s="212">
        <v>0</v>
      </c>
      <c r="H11" s="212">
        <v>0</v>
      </c>
      <c r="I11" s="209">
        <v>0</v>
      </c>
      <c r="J11" s="209">
        <v>0</v>
      </c>
      <c r="K11" s="211">
        <v>17.874817223659882</v>
      </c>
      <c r="L11" s="235">
        <v>0</v>
      </c>
      <c r="M11" s="207">
        <v>0.2839422135781603</v>
      </c>
      <c r="N11" s="212"/>
      <c r="O11" s="209">
        <v>0</v>
      </c>
      <c r="P11" s="211">
        <v>0.2839422135781603</v>
      </c>
      <c r="Q11" s="235"/>
      <c r="R11" s="235">
        <v>0</v>
      </c>
      <c r="S11" s="212">
        <v>0</v>
      </c>
      <c r="T11" s="209">
        <v>0</v>
      </c>
      <c r="U11" s="213">
        <v>18.158759437238043</v>
      </c>
      <c r="W11" s="233">
        <f>U11+U12+U13</f>
        <v>125.72080444466491</v>
      </c>
    </row>
    <row r="12" spans="1:23" s="192" customFormat="1" ht="24">
      <c r="A12" s="187"/>
      <c r="B12" s="236" t="s">
        <v>597</v>
      </c>
      <c r="C12" s="237">
        <v>0</v>
      </c>
      <c r="D12" s="208">
        <v>8.077985740593757</v>
      </c>
      <c r="E12" s="208">
        <v>7.0104991598250335</v>
      </c>
      <c r="F12" s="208">
        <v>2.8469543497148059E-2</v>
      </c>
      <c r="G12" s="238">
        <v>0</v>
      </c>
      <c r="H12" s="238">
        <v>0</v>
      </c>
      <c r="I12" s="239">
        <v>0</v>
      </c>
      <c r="J12" s="239">
        <v>0</v>
      </c>
      <c r="K12" s="217">
        <v>15.11695444391594</v>
      </c>
      <c r="L12" s="237">
        <v>0</v>
      </c>
      <c r="M12" s="208">
        <v>0.48025938002955038</v>
      </c>
      <c r="N12" s="238"/>
      <c r="O12" s="239">
        <v>0</v>
      </c>
      <c r="P12" s="217">
        <v>0.48025938002955038</v>
      </c>
      <c r="Q12" s="237"/>
      <c r="R12" s="237">
        <v>0</v>
      </c>
      <c r="S12" s="208">
        <v>8.7351076546340854E-3</v>
      </c>
      <c r="T12" s="239">
        <v>0</v>
      </c>
      <c r="U12" s="219">
        <v>15.605948931600125</v>
      </c>
      <c r="W12" s="233"/>
    </row>
    <row r="13" spans="1:23" s="192" customFormat="1">
      <c r="A13" s="187"/>
      <c r="B13" s="236" t="s">
        <v>598</v>
      </c>
      <c r="C13" s="237">
        <v>0</v>
      </c>
      <c r="D13" s="208">
        <v>41.901606988151087</v>
      </c>
      <c r="E13" s="208">
        <v>48.388107529549607</v>
      </c>
      <c r="F13" s="238">
        <v>0</v>
      </c>
      <c r="G13" s="238">
        <v>0</v>
      </c>
      <c r="H13" s="238">
        <v>0</v>
      </c>
      <c r="I13" s="239">
        <v>0</v>
      </c>
      <c r="J13" s="239">
        <v>0</v>
      </c>
      <c r="K13" s="217">
        <v>90.289714517700702</v>
      </c>
      <c r="L13" s="237">
        <v>0</v>
      </c>
      <c r="M13" s="208">
        <v>1.4566894188170423</v>
      </c>
      <c r="N13" s="238"/>
      <c r="O13" s="239">
        <v>0</v>
      </c>
      <c r="P13" s="217">
        <v>1.4566894188170423</v>
      </c>
      <c r="Q13" s="237"/>
      <c r="R13" s="237">
        <v>0</v>
      </c>
      <c r="S13" s="208">
        <v>6.7794954037267235E-2</v>
      </c>
      <c r="T13" s="297">
        <v>0.14189718527173398</v>
      </c>
      <c r="U13" s="219">
        <v>91.956096075826736</v>
      </c>
      <c r="W13" s="233"/>
    </row>
    <row r="14" spans="1:23" s="192" customFormat="1">
      <c r="A14" s="187"/>
      <c r="B14" s="240" t="s">
        <v>154</v>
      </c>
      <c r="C14" s="214">
        <v>71.787473463324019</v>
      </c>
      <c r="D14" s="218">
        <v>0</v>
      </c>
      <c r="E14" s="218">
        <v>0</v>
      </c>
      <c r="F14" s="218">
        <v>0</v>
      </c>
      <c r="G14" s="215">
        <v>5.22333640402959</v>
      </c>
      <c r="H14" s="218">
        <v>0</v>
      </c>
      <c r="I14" s="241">
        <v>0</v>
      </c>
      <c r="J14" s="220">
        <v>0</v>
      </c>
      <c r="K14" s="217">
        <v>77.010809867353615</v>
      </c>
      <c r="L14" s="214">
        <v>5.4648673749999999</v>
      </c>
      <c r="M14" s="215">
        <v>24.032598812388649</v>
      </c>
      <c r="N14" s="215">
        <v>1.7199712510375302</v>
      </c>
      <c r="O14" s="216">
        <v>4.2936957027385345</v>
      </c>
      <c r="P14" s="217">
        <v>35.511133141164713</v>
      </c>
      <c r="Q14" s="214"/>
      <c r="R14" s="214">
        <v>30.1786129008374</v>
      </c>
      <c r="S14" s="218">
        <v>0</v>
      </c>
      <c r="T14" s="220">
        <v>0</v>
      </c>
      <c r="U14" s="219">
        <v>142.70055590935573</v>
      </c>
    </row>
    <row r="15" spans="1:23" s="192" customFormat="1" ht="15" thickBot="1">
      <c r="A15" s="187"/>
      <c r="B15" s="242" t="s">
        <v>211</v>
      </c>
      <c r="C15" s="243">
        <v>10.057829061996834</v>
      </c>
      <c r="D15" s="224">
        <v>0</v>
      </c>
      <c r="E15" s="244">
        <v>0.68218316688984737</v>
      </c>
      <c r="F15" s="244">
        <v>0.65418268403055857</v>
      </c>
      <c r="G15" s="244">
        <v>7.7123623681751114</v>
      </c>
      <c r="H15" s="224">
        <v>0</v>
      </c>
      <c r="I15" s="225">
        <v>0</v>
      </c>
      <c r="J15" s="225">
        <v>0</v>
      </c>
      <c r="K15" s="226">
        <v>19.106557281092353</v>
      </c>
      <c r="L15" s="243">
        <v>4.2874388803999999</v>
      </c>
      <c r="M15" s="244">
        <v>34.591023145578049</v>
      </c>
      <c r="N15" s="244">
        <v>2.9710994364851291</v>
      </c>
      <c r="O15" s="245">
        <v>11.828636557799646</v>
      </c>
      <c r="P15" s="226">
        <v>53.678198020262826</v>
      </c>
      <c r="Q15" s="243"/>
      <c r="R15" s="243">
        <v>3.9074621480245546</v>
      </c>
      <c r="S15" s="224">
        <v>0</v>
      </c>
      <c r="T15" s="225">
        <v>0</v>
      </c>
      <c r="U15" s="227">
        <v>76.692217449379726</v>
      </c>
    </row>
    <row r="16" spans="1:23" s="252" customFormat="1" ht="15" thickTop="1">
      <c r="A16" s="246"/>
      <c r="B16" s="247" t="s">
        <v>156</v>
      </c>
      <c r="C16" s="248">
        <v>214.11674446168522</v>
      </c>
      <c r="D16" s="248">
        <v>50.030358276207004</v>
      </c>
      <c r="E16" s="248">
        <v>79.487889932311731</v>
      </c>
      <c r="F16" s="248">
        <v>2.3588403106979094</v>
      </c>
      <c r="G16" s="248">
        <v>15.156781638397028</v>
      </c>
      <c r="H16" s="248">
        <v>9.1665173617437397</v>
      </c>
      <c r="I16" s="249">
        <v>18.965344922598764</v>
      </c>
      <c r="J16" s="249">
        <v>3.9579608329771307</v>
      </c>
      <c r="K16" s="250">
        <v>393.24043773661856</v>
      </c>
      <c r="L16" s="248">
        <v>10.611459091685663</v>
      </c>
      <c r="M16" s="248">
        <v>154.81138912205174</v>
      </c>
      <c r="N16" s="248">
        <v>4.7183404607056767</v>
      </c>
      <c r="O16" s="249">
        <v>16.185682657993894</v>
      </c>
      <c r="P16" s="250">
        <v>186.32687133243698</v>
      </c>
      <c r="Q16" s="248"/>
      <c r="R16" s="248">
        <v>60.556525044337363</v>
      </c>
      <c r="S16" s="248">
        <v>0.22653006169190132</v>
      </c>
      <c r="T16" s="298">
        <v>0.14189718527173398</v>
      </c>
      <c r="U16" s="251">
        <v>640.49226136035668</v>
      </c>
    </row>
    <row r="17" spans="1:21" s="192" customFormat="1" ht="24.6" thickBot="1">
      <c r="A17" s="187"/>
      <c r="B17" s="253" t="s">
        <v>599</v>
      </c>
      <c r="C17" s="254">
        <v>0.33430028335848677</v>
      </c>
      <c r="D17" s="254">
        <v>7.8112354035232742E-2</v>
      </c>
      <c r="E17" s="254">
        <v>0.12410437210199156</v>
      </c>
      <c r="F17" s="254">
        <v>3.6828552864759251E-3</v>
      </c>
      <c r="G17" s="254">
        <v>2.3664269738724368E-2</v>
      </c>
      <c r="H17" s="254">
        <v>1.4311675432697277E-2</v>
      </c>
      <c r="I17" s="254">
        <v>2.9610576218856755E-2</v>
      </c>
      <c r="J17" s="294">
        <v>6.1795607406258495E-3</v>
      </c>
      <c r="K17" s="295">
        <v>0.61396594691309136</v>
      </c>
      <c r="L17" s="254">
        <v>1.6567661675018108E-2</v>
      </c>
      <c r="M17" s="254">
        <v>0.24170688462846399</v>
      </c>
      <c r="N17" s="254">
        <v>7.366740779481522E-3</v>
      </c>
      <c r="O17" s="294">
        <v>2.5270691988716208E-2</v>
      </c>
      <c r="P17" s="295">
        <v>0.29091197907167987</v>
      </c>
      <c r="Q17" s="254"/>
      <c r="R17" s="254">
        <v>9.45468488810777E-2</v>
      </c>
      <c r="S17" s="254">
        <v>3.536811845482235E-4</v>
      </c>
      <c r="T17" s="294">
        <v>2.2154394960269337E-4</v>
      </c>
      <c r="U17" s="299">
        <v>0.99999999999999978</v>
      </c>
    </row>
    <row r="18" spans="1:21">
      <c r="E18" s="255">
        <f>E17+D17</f>
        <v>0.2022167261372243</v>
      </c>
    </row>
    <row r="19" spans="1:21" ht="15" thickBot="1">
      <c r="K19" s="256"/>
    </row>
    <row r="20" spans="1:21" ht="18.600000000000001" thickBot="1">
      <c r="B20" s="927" t="s">
        <v>585</v>
      </c>
      <c r="C20" s="928"/>
      <c r="D20" s="928"/>
      <c r="E20" s="928"/>
      <c r="F20" s="928"/>
      <c r="G20" s="928"/>
      <c r="H20" s="928"/>
      <c r="I20" s="928"/>
      <c r="J20" s="929"/>
      <c r="K20" s="257"/>
      <c r="L20" s="258"/>
      <c r="M20" s="258"/>
      <c r="N20" s="258"/>
      <c r="O20" s="258"/>
      <c r="P20" s="258"/>
      <c r="Q20" s="258"/>
      <c r="R20" s="258"/>
      <c r="S20" s="258"/>
      <c r="T20" s="258"/>
      <c r="U20" s="258"/>
    </row>
    <row r="21" spans="1:21" ht="15" thickBot="1">
      <c r="B21" s="933" t="s">
        <v>443</v>
      </c>
      <c r="C21" s="934"/>
      <c r="D21" s="934"/>
      <c r="E21" s="934"/>
      <c r="F21" s="934"/>
      <c r="G21" s="934"/>
      <c r="H21" s="934"/>
      <c r="I21" s="934"/>
      <c r="J21" s="935"/>
      <c r="K21" s="259"/>
      <c r="L21" s="260"/>
      <c r="M21" s="260"/>
      <c r="N21" s="260"/>
      <c r="O21" s="260"/>
      <c r="P21" s="260"/>
      <c r="Q21" s="260"/>
      <c r="R21" s="260"/>
      <c r="S21" s="260"/>
      <c r="T21" s="260"/>
      <c r="U21" s="260"/>
    </row>
    <row r="22" spans="1:21" ht="36.6" thickBot="1">
      <c r="B22" s="197" t="s">
        <v>587</v>
      </c>
      <c r="C22" s="198" t="s">
        <v>586</v>
      </c>
      <c r="D22" s="199" t="s">
        <v>600</v>
      </c>
      <c r="E22" s="199" t="s">
        <v>601</v>
      </c>
      <c r="F22" s="199" t="s">
        <v>591</v>
      </c>
      <c r="G22" s="203" t="s">
        <v>145</v>
      </c>
      <c r="H22" s="198" t="s">
        <v>83</v>
      </c>
      <c r="I22" s="261" t="s">
        <v>602</v>
      </c>
      <c r="J22" s="262" t="s">
        <v>156</v>
      </c>
      <c r="O22" s="263"/>
      <c r="P22" s="264"/>
      <c r="Q22" s="264"/>
    </row>
    <row r="23" spans="1:21">
      <c r="B23" s="205" t="s">
        <v>149</v>
      </c>
      <c r="C23" s="206">
        <f>C6+G6+H6+I6+J6</f>
        <v>1.9585298448974844</v>
      </c>
      <c r="D23" s="207">
        <f>D6+E6+F6</f>
        <v>0.18745070107678752</v>
      </c>
      <c r="E23" s="207">
        <f>R6+S6</f>
        <v>0.59027175812107791</v>
      </c>
      <c r="F23" s="207">
        <f>N6</f>
        <v>6.6988434895231073E-3</v>
      </c>
      <c r="G23" s="207">
        <f t="shared" ref="G23:G32" si="0">T6</f>
        <v>0</v>
      </c>
      <c r="H23" s="207">
        <f t="shared" ref="H23:H32" si="1">L6</f>
        <v>1.8805680474852079E-2</v>
      </c>
      <c r="I23" s="265">
        <f t="shared" ref="I23:I32" si="2">M6+O6</f>
        <v>1.04</v>
      </c>
      <c r="J23" s="266">
        <f>SUM(C23:I23)</f>
        <v>3.8017568280597249</v>
      </c>
      <c r="O23" s="267"/>
      <c r="P23" s="268"/>
      <c r="Q23" s="268"/>
    </row>
    <row r="24" spans="1:21">
      <c r="B24" s="205" t="s">
        <v>152</v>
      </c>
      <c r="C24" s="214">
        <f t="shared" ref="C24:C32" si="3">C7+G7+H7+I7+J7</f>
        <v>162.54936153605502</v>
      </c>
      <c r="D24" s="215">
        <f t="shared" ref="D24:D32" si="4">D7+E7+F7</f>
        <v>3.3255285447762679</v>
      </c>
      <c r="E24" s="215">
        <f t="shared" ref="E24:E32" si="5">R7+S7</f>
        <v>25.880178237354329</v>
      </c>
      <c r="F24" s="215">
        <f t="shared" ref="F24:F32" si="6">N7</f>
        <v>2.0570929693494173E-2</v>
      </c>
      <c r="G24" s="215">
        <f t="shared" si="0"/>
        <v>0</v>
      </c>
      <c r="H24" s="215">
        <f t="shared" si="1"/>
        <v>0.80034715581081228</v>
      </c>
      <c r="I24" s="269">
        <f t="shared" si="2"/>
        <v>92.024008139804096</v>
      </c>
      <c r="J24" s="270">
        <f t="shared" ref="J24:J31" si="7">SUM(C24:I24)</f>
        <v>284.59999454349401</v>
      </c>
      <c r="O24" s="267"/>
      <c r="P24" s="268"/>
      <c r="Q24" s="268"/>
    </row>
    <row r="25" spans="1:21">
      <c r="B25" s="205" t="s">
        <v>150</v>
      </c>
      <c r="C25" s="214">
        <f t="shared" si="3"/>
        <v>2.0744565389238265</v>
      </c>
      <c r="D25" s="215">
        <f t="shared" si="4"/>
        <v>3.7462572371666658</v>
      </c>
      <c r="E25" s="215">
        <f t="shared" si="5"/>
        <v>0.15</v>
      </c>
      <c r="F25" s="215">
        <f t="shared" si="6"/>
        <v>0</v>
      </c>
      <c r="G25" s="215">
        <f t="shared" si="0"/>
        <v>0</v>
      </c>
      <c r="H25" s="215">
        <f t="shared" si="1"/>
        <v>0.04</v>
      </c>
      <c r="I25" s="269">
        <f t="shared" si="2"/>
        <v>0.9662184093119276</v>
      </c>
      <c r="J25" s="270">
        <f t="shared" si="7"/>
        <v>6.9769321854024211</v>
      </c>
      <c r="O25" s="267"/>
      <c r="P25" s="268"/>
      <c r="Q25" s="268"/>
    </row>
    <row r="26" spans="1:21" ht="15" thickBot="1">
      <c r="B26" s="222" t="s">
        <v>151</v>
      </c>
      <c r="C26" s="271">
        <f t="shared" si="3"/>
        <v>0</v>
      </c>
      <c r="D26" s="272">
        <f t="shared" si="4"/>
        <v>0</v>
      </c>
      <c r="E26" s="272">
        <f t="shared" si="5"/>
        <v>0</v>
      </c>
      <c r="F26" s="272">
        <f t="shared" si="6"/>
        <v>0</v>
      </c>
      <c r="G26" s="272">
        <f t="shared" si="0"/>
        <v>0</v>
      </c>
      <c r="H26" s="272">
        <f t="shared" si="1"/>
        <v>0</v>
      </c>
      <c r="I26" s="273">
        <f t="shared" si="2"/>
        <v>0</v>
      </c>
      <c r="J26" s="274">
        <f t="shared" si="7"/>
        <v>0</v>
      </c>
      <c r="O26" s="275"/>
      <c r="P26" s="268"/>
      <c r="Q26" s="268"/>
    </row>
    <row r="27" spans="1:21" ht="32.25" customHeight="1" thickTop="1" thickBot="1">
      <c r="B27" s="228" t="s">
        <v>595</v>
      </c>
      <c r="C27" s="276">
        <f t="shared" si="3"/>
        <v>166.58234791987633</v>
      </c>
      <c r="D27" s="276">
        <f t="shared" si="4"/>
        <v>7.2592364830197216</v>
      </c>
      <c r="E27" s="276">
        <f t="shared" si="5"/>
        <v>26.620449995475404</v>
      </c>
      <c r="F27" s="276">
        <f t="shared" si="6"/>
        <v>2.7269773183017279E-2</v>
      </c>
      <c r="G27" s="276">
        <f t="shared" si="0"/>
        <v>0</v>
      </c>
      <c r="H27" s="276">
        <f t="shared" si="1"/>
        <v>0.85915283628566441</v>
      </c>
      <c r="I27" s="277">
        <f t="shared" si="2"/>
        <v>94.030226549116009</v>
      </c>
      <c r="J27" s="278">
        <f t="shared" si="7"/>
        <v>295.37868355695616</v>
      </c>
      <c r="O27" s="267"/>
      <c r="P27" s="268"/>
      <c r="Q27" s="268"/>
    </row>
    <row r="28" spans="1:21">
      <c r="B28" s="234" t="s">
        <v>596</v>
      </c>
      <c r="C28" s="206">
        <f t="shared" si="3"/>
        <v>0</v>
      </c>
      <c r="D28" s="207">
        <f t="shared" si="4"/>
        <v>17.874817223659882</v>
      </c>
      <c r="E28" s="207">
        <f t="shared" si="5"/>
        <v>0</v>
      </c>
      <c r="F28" s="207">
        <f t="shared" si="6"/>
        <v>0</v>
      </c>
      <c r="G28" s="207">
        <f t="shared" si="0"/>
        <v>0</v>
      </c>
      <c r="H28" s="207">
        <f t="shared" si="1"/>
        <v>0</v>
      </c>
      <c r="I28" s="265">
        <f t="shared" si="2"/>
        <v>0.2839422135781603</v>
      </c>
      <c r="J28" s="266">
        <f t="shared" si="7"/>
        <v>18.158759437238043</v>
      </c>
      <c r="O28" s="275"/>
      <c r="P28" s="268"/>
      <c r="Q28" s="268"/>
    </row>
    <row r="29" spans="1:21" ht="24">
      <c r="B29" s="236" t="s">
        <v>597</v>
      </c>
      <c r="C29" s="279">
        <f t="shared" si="3"/>
        <v>0</v>
      </c>
      <c r="D29" s="208">
        <f t="shared" si="4"/>
        <v>15.11695444391594</v>
      </c>
      <c r="E29" s="208">
        <f t="shared" si="5"/>
        <v>8.7351076546340854E-3</v>
      </c>
      <c r="F29" s="208">
        <f t="shared" si="6"/>
        <v>0</v>
      </c>
      <c r="G29" s="208">
        <f t="shared" si="0"/>
        <v>0</v>
      </c>
      <c r="H29" s="208">
        <f t="shared" si="1"/>
        <v>0</v>
      </c>
      <c r="I29" s="280">
        <f t="shared" si="2"/>
        <v>0.48025938002955038</v>
      </c>
      <c r="J29" s="270">
        <f t="shared" si="7"/>
        <v>15.605948931600125</v>
      </c>
      <c r="O29" s="275"/>
      <c r="P29" s="268"/>
      <c r="Q29" s="268"/>
    </row>
    <row r="30" spans="1:21" ht="15" thickBot="1">
      <c r="B30" s="236" t="s">
        <v>598</v>
      </c>
      <c r="C30" s="229">
        <f t="shared" si="3"/>
        <v>0</v>
      </c>
      <c r="D30" s="281">
        <f t="shared" si="4"/>
        <v>90.289714517700702</v>
      </c>
      <c r="E30" s="281">
        <f t="shared" si="5"/>
        <v>6.7794954037267235E-2</v>
      </c>
      <c r="F30" s="281">
        <f t="shared" si="6"/>
        <v>0</v>
      </c>
      <c r="G30" s="281">
        <f t="shared" si="0"/>
        <v>0.14189718527173398</v>
      </c>
      <c r="H30" s="281">
        <f t="shared" si="1"/>
        <v>0</v>
      </c>
      <c r="I30" s="282">
        <f t="shared" si="2"/>
        <v>1.4566894188170423</v>
      </c>
      <c r="J30" s="274">
        <f t="shared" si="7"/>
        <v>91.956096075826736</v>
      </c>
      <c r="O30" s="275"/>
      <c r="P30" s="268"/>
      <c r="Q30" s="268"/>
    </row>
    <row r="31" spans="1:21">
      <c r="B31" s="240" t="s">
        <v>154</v>
      </c>
      <c r="C31" s="279">
        <f t="shared" si="3"/>
        <v>77.010809867353615</v>
      </c>
      <c r="D31" s="208">
        <f t="shared" si="4"/>
        <v>0</v>
      </c>
      <c r="E31" s="208">
        <f t="shared" si="5"/>
        <v>30.1786129008374</v>
      </c>
      <c r="F31" s="208">
        <f t="shared" si="6"/>
        <v>1.7199712510375302</v>
      </c>
      <c r="G31" s="208">
        <f t="shared" si="0"/>
        <v>0</v>
      </c>
      <c r="H31" s="208">
        <f t="shared" si="1"/>
        <v>5.4648673749999999</v>
      </c>
      <c r="I31" s="280">
        <f t="shared" si="2"/>
        <v>28.326294515127184</v>
      </c>
      <c r="J31" s="266">
        <f t="shared" si="7"/>
        <v>142.70055590935573</v>
      </c>
      <c r="O31" s="267"/>
      <c r="P31" s="268"/>
      <c r="Q31" s="268"/>
    </row>
    <row r="32" spans="1:21" ht="15" thickBot="1">
      <c r="B32" s="242" t="s">
        <v>211</v>
      </c>
      <c r="C32" s="243">
        <f t="shared" si="3"/>
        <v>17.770191430171945</v>
      </c>
      <c r="D32" s="244">
        <f t="shared" si="4"/>
        <v>1.3363658509204059</v>
      </c>
      <c r="E32" s="244">
        <f t="shared" si="5"/>
        <v>3.9074621480245546</v>
      </c>
      <c r="F32" s="244">
        <f t="shared" si="6"/>
        <v>2.9710994364851291</v>
      </c>
      <c r="G32" s="244">
        <f t="shared" si="0"/>
        <v>0</v>
      </c>
      <c r="H32" s="244">
        <f t="shared" si="1"/>
        <v>4.2874388803999999</v>
      </c>
      <c r="I32" s="283">
        <f t="shared" si="2"/>
        <v>46.419659703377697</v>
      </c>
      <c r="J32" s="284">
        <f>SUM(C32:I32)</f>
        <v>76.692217449379726</v>
      </c>
      <c r="O32" s="267"/>
      <c r="P32" s="268"/>
      <c r="Q32" s="268"/>
    </row>
    <row r="33" spans="2:17" ht="15" thickTop="1">
      <c r="B33" s="247" t="s">
        <v>156</v>
      </c>
      <c r="C33" s="248">
        <f t="shared" ref="C33:I33" si="8">SUM(C27:C32)</f>
        <v>261.36334921740189</v>
      </c>
      <c r="D33" s="248">
        <f t="shared" si="8"/>
        <v>131.87708851921664</v>
      </c>
      <c r="E33" s="248">
        <f t="shared" si="8"/>
        <v>60.783055106029259</v>
      </c>
      <c r="F33" s="248">
        <f t="shared" si="8"/>
        <v>4.7183404607056767</v>
      </c>
      <c r="G33" s="248">
        <f t="shared" si="8"/>
        <v>0.14189718527173398</v>
      </c>
      <c r="H33" s="248">
        <f t="shared" si="8"/>
        <v>10.611459091685663</v>
      </c>
      <c r="I33" s="285">
        <f t="shared" si="8"/>
        <v>170.99707178004564</v>
      </c>
      <c r="J33" s="286">
        <f>SUM(C33:I33)</f>
        <v>640.49226136035657</v>
      </c>
      <c r="K33" s="256"/>
      <c r="O33" s="268"/>
      <c r="P33" s="268"/>
      <c r="Q33" s="268"/>
    </row>
    <row r="34" spans="2:17" ht="24.6" thickBot="1">
      <c r="B34" s="253" t="s">
        <v>599</v>
      </c>
      <c r="C34" s="287">
        <f t="shared" ref="C34:I34" si="9">C33/$J$33</f>
        <v>0.40806636548939113</v>
      </c>
      <c r="D34" s="288">
        <f t="shared" si="9"/>
        <v>0.20589958142370027</v>
      </c>
      <c r="E34" s="288">
        <f t="shared" si="9"/>
        <v>9.4900530065625932E-2</v>
      </c>
      <c r="F34" s="288">
        <f t="shared" si="9"/>
        <v>7.3667407794815237E-3</v>
      </c>
      <c r="G34" s="288">
        <f t="shared" si="9"/>
        <v>2.2154394960269342E-4</v>
      </c>
      <c r="H34" s="288">
        <f t="shared" si="9"/>
        <v>1.6567661675018112E-2</v>
      </c>
      <c r="I34" s="289">
        <f t="shared" si="9"/>
        <v>0.26697757661718025</v>
      </c>
      <c r="J34" s="290">
        <v>0.99999999999999978</v>
      </c>
      <c r="O34" s="291"/>
      <c r="P34" s="292"/>
      <c r="Q34" s="292"/>
    </row>
    <row r="36" spans="2:17" ht="15" thickBot="1"/>
    <row r="37" spans="2:17" ht="24">
      <c r="C37" s="198" t="s">
        <v>586</v>
      </c>
      <c r="D37" s="198" t="s">
        <v>603</v>
      </c>
    </row>
    <row r="38" spans="2:17">
      <c r="C38" s="256">
        <f>C33+D33</f>
        <v>393.24043773661856</v>
      </c>
      <c r="D38" s="256">
        <f>E33+F33+G33+H33+I33</f>
        <v>247.25182362373798</v>
      </c>
      <c r="E38" s="256">
        <f>C38+D38</f>
        <v>640.49226136035657</v>
      </c>
    </row>
    <row r="39" spans="2:17">
      <c r="C39" s="293">
        <f>C38/$E$38</f>
        <v>0.61396594691309148</v>
      </c>
      <c r="D39" s="293">
        <f>D38/$E$38</f>
        <v>0.38603405308690852</v>
      </c>
    </row>
  </sheetData>
  <mergeCells count="4">
    <mergeCell ref="B3:U3"/>
    <mergeCell ref="C4:J4"/>
    <mergeCell ref="B20:J20"/>
    <mergeCell ref="B21:J21"/>
  </mergeCells>
  <pageMargins left="0.7" right="0.7" top="0.78740157499999996" bottom="0.78740157499999996"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1"/>
  <sheetViews>
    <sheetView topLeftCell="A13" zoomScale="85" zoomScaleNormal="85" workbookViewId="0">
      <selection activeCell="P9" sqref="P9"/>
    </sheetView>
  </sheetViews>
  <sheetFormatPr defaultColWidth="11.42578125" defaultRowHeight="14.45"/>
  <cols>
    <col min="1" max="1" width="7" style="9" customWidth="1"/>
    <col min="2" max="2" width="12.5703125" style="9" customWidth="1"/>
    <col min="3" max="10" width="8.7109375" style="9" customWidth="1"/>
    <col min="11" max="256" width="11.42578125" style="9"/>
    <col min="257" max="257" width="7" style="9" customWidth="1"/>
    <col min="258" max="258" width="12.5703125" style="9" customWidth="1"/>
    <col min="259" max="266" width="8.7109375" style="9" customWidth="1"/>
    <col min="267" max="512" width="11.42578125" style="9"/>
    <col min="513" max="513" width="7" style="9" customWidth="1"/>
    <col min="514" max="514" width="12.5703125" style="9" customWidth="1"/>
    <col min="515" max="522" width="8.7109375" style="9" customWidth="1"/>
    <col min="523" max="768" width="11.42578125" style="9"/>
    <col min="769" max="769" width="7" style="9" customWidth="1"/>
    <col min="770" max="770" width="12.5703125" style="9" customWidth="1"/>
    <col min="771" max="778" width="8.7109375" style="9" customWidth="1"/>
    <col min="779" max="1024" width="11.42578125" style="9"/>
    <col min="1025" max="1025" width="7" style="9" customWidth="1"/>
    <col min="1026" max="1026" width="12.5703125" style="9" customWidth="1"/>
    <col min="1027" max="1034" width="8.7109375" style="9" customWidth="1"/>
    <col min="1035" max="1280" width="11.42578125" style="9"/>
    <col min="1281" max="1281" width="7" style="9" customWidth="1"/>
    <col min="1282" max="1282" width="12.5703125" style="9" customWidth="1"/>
    <col min="1283" max="1290" width="8.7109375" style="9" customWidth="1"/>
    <col min="1291" max="1536" width="11.42578125" style="9"/>
    <col min="1537" max="1537" width="7" style="9" customWidth="1"/>
    <col min="1538" max="1538" width="12.5703125" style="9" customWidth="1"/>
    <col min="1539" max="1546" width="8.7109375" style="9" customWidth="1"/>
    <col min="1547" max="1792" width="11.42578125" style="9"/>
    <col min="1793" max="1793" width="7" style="9" customWidth="1"/>
    <col min="1794" max="1794" width="12.5703125" style="9" customWidth="1"/>
    <col min="1795" max="1802" width="8.7109375" style="9" customWidth="1"/>
    <col min="1803" max="2048" width="11.42578125" style="9"/>
    <col min="2049" max="2049" width="7" style="9" customWidth="1"/>
    <col min="2050" max="2050" width="12.5703125" style="9" customWidth="1"/>
    <col min="2051" max="2058" width="8.7109375" style="9" customWidth="1"/>
    <col min="2059" max="2304" width="11.42578125" style="9"/>
    <col min="2305" max="2305" width="7" style="9" customWidth="1"/>
    <col min="2306" max="2306" width="12.5703125" style="9" customWidth="1"/>
    <col min="2307" max="2314" width="8.7109375" style="9" customWidth="1"/>
    <col min="2315" max="2560" width="11.42578125" style="9"/>
    <col min="2561" max="2561" width="7" style="9" customWidth="1"/>
    <col min="2562" max="2562" width="12.5703125" style="9" customWidth="1"/>
    <col min="2563" max="2570" width="8.7109375" style="9" customWidth="1"/>
    <col min="2571" max="2816" width="11.42578125" style="9"/>
    <col min="2817" max="2817" width="7" style="9" customWidth="1"/>
    <col min="2818" max="2818" width="12.5703125" style="9" customWidth="1"/>
    <col min="2819" max="2826" width="8.7109375" style="9" customWidth="1"/>
    <col min="2827" max="3072" width="11.42578125" style="9"/>
    <col min="3073" max="3073" width="7" style="9" customWidth="1"/>
    <col min="3074" max="3074" width="12.5703125" style="9" customWidth="1"/>
    <col min="3075" max="3082" width="8.7109375" style="9" customWidth="1"/>
    <col min="3083" max="3328" width="11.42578125" style="9"/>
    <col min="3329" max="3329" width="7" style="9" customWidth="1"/>
    <col min="3330" max="3330" width="12.5703125" style="9" customWidth="1"/>
    <col min="3331" max="3338" width="8.7109375" style="9" customWidth="1"/>
    <col min="3339" max="3584" width="11.42578125" style="9"/>
    <col min="3585" max="3585" width="7" style="9" customWidth="1"/>
    <col min="3586" max="3586" width="12.5703125" style="9" customWidth="1"/>
    <col min="3587" max="3594" width="8.7109375" style="9" customWidth="1"/>
    <col min="3595" max="3840" width="11.42578125" style="9"/>
    <col min="3841" max="3841" width="7" style="9" customWidth="1"/>
    <col min="3842" max="3842" width="12.5703125" style="9" customWidth="1"/>
    <col min="3843" max="3850" width="8.7109375" style="9" customWidth="1"/>
    <col min="3851" max="4096" width="11.42578125" style="9"/>
    <col min="4097" max="4097" width="7" style="9" customWidth="1"/>
    <col min="4098" max="4098" width="12.5703125" style="9" customWidth="1"/>
    <col min="4099" max="4106" width="8.7109375" style="9" customWidth="1"/>
    <col min="4107" max="4352" width="11.42578125" style="9"/>
    <col min="4353" max="4353" width="7" style="9" customWidth="1"/>
    <col min="4354" max="4354" width="12.5703125" style="9" customWidth="1"/>
    <col min="4355" max="4362" width="8.7109375" style="9" customWidth="1"/>
    <col min="4363" max="4608" width="11.42578125" style="9"/>
    <col min="4609" max="4609" width="7" style="9" customWidth="1"/>
    <col min="4610" max="4610" width="12.5703125" style="9" customWidth="1"/>
    <col min="4611" max="4618" width="8.7109375" style="9" customWidth="1"/>
    <col min="4619" max="4864" width="11.42578125" style="9"/>
    <col min="4865" max="4865" width="7" style="9" customWidth="1"/>
    <col min="4866" max="4866" width="12.5703125" style="9" customWidth="1"/>
    <col min="4867" max="4874" width="8.7109375" style="9" customWidth="1"/>
    <col min="4875" max="5120" width="11.42578125" style="9"/>
    <col min="5121" max="5121" width="7" style="9" customWidth="1"/>
    <col min="5122" max="5122" width="12.5703125" style="9" customWidth="1"/>
    <col min="5123" max="5130" width="8.7109375" style="9" customWidth="1"/>
    <col min="5131" max="5376" width="11.42578125" style="9"/>
    <col min="5377" max="5377" width="7" style="9" customWidth="1"/>
    <col min="5378" max="5378" width="12.5703125" style="9" customWidth="1"/>
    <col min="5379" max="5386" width="8.7109375" style="9" customWidth="1"/>
    <col min="5387" max="5632" width="11.42578125" style="9"/>
    <col min="5633" max="5633" width="7" style="9" customWidth="1"/>
    <col min="5634" max="5634" width="12.5703125" style="9" customWidth="1"/>
    <col min="5635" max="5642" width="8.7109375" style="9" customWidth="1"/>
    <col min="5643" max="5888" width="11.42578125" style="9"/>
    <col min="5889" max="5889" width="7" style="9" customWidth="1"/>
    <col min="5890" max="5890" width="12.5703125" style="9" customWidth="1"/>
    <col min="5891" max="5898" width="8.7109375" style="9" customWidth="1"/>
    <col min="5899" max="6144" width="11.42578125" style="9"/>
    <col min="6145" max="6145" width="7" style="9" customWidth="1"/>
    <col min="6146" max="6146" width="12.5703125" style="9" customWidth="1"/>
    <col min="6147" max="6154" width="8.7109375" style="9" customWidth="1"/>
    <col min="6155" max="6400" width="11.42578125" style="9"/>
    <col min="6401" max="6401" width="7" style="9" customWidth="1"/>
    <col min="6402" max="6402" width="12.5703125" style="9" customWidth="1"/>
    <col min="6403" max="6410" width="8.7109375" style="9" customWidth="1"/>
    <col min="6411" max="6656" width="11.42578125" style="9"/>
    <col min="6657" max="6657" width="7" style="9" customWidth="1"/>
    <col min="6658" max="6658" width="12.5703125" style="9" customWidth="1"/>
    <col min="6659" max="6666" width="8.7109375" style="9" customWidth="1"/>
    <col min="6667" max="6912" width="11.42578125" style="9"/>
    <col min="6913" max="6913" width="7" style="9" customWidth="1"/>
    <col min="6914" max="6914" width="12.5703125" style="9" customWidth="1"/>
    <col min="6915" max="6922" width="8.7109375" style="9" customWidth="1"/>
    <col min="6923" max="7168" width="11.42578125" style="9"/>
    <col min="7169" max="7169" width="7" style="9" customWidth="1"/>
    <col min="7170" max="7170" width="12.5703125" style="9" customWidth="1"/>
    <col min="7171" max="7178" width="8.7109375" style="9" customWidth="1"/>
    <col min="7179" max="7424" width="11.42578125" style="9"/>
    <col min="7425" max="7425" width="7" style="9" customWidth="1"/>
    <col min="7426" max="7426" width="12.5703125" style="9" customWidth="1"/>
    <col min="7427" max="7434" width="8.7109375" style="9" customWidth="1"/>
    <col min="7435" max="7680" width="11.42578125" style="9"/>
    <col min="7681" max="7681" width="7" style="9" customWidth="1"/>
    <col min="7682" max="7682" width="12.5703125" style="9" customWidth="1"/>
    <col min="7683" max="7690" width="8.7109375" style="9" customWidth="1"/>
    <col min="7691" max="7936" width="11.42578125" style="9"/>
    <col min="7937" max="7937" width="7" style="9" customWidth="1"/>
    <col min="7938" max="7938" width="12.5703125" style="9" customWidth="1"/>
    <col min="7939" max="7946" width="8.7109375" style="9" customWidth="1"/>
    <col min="7947" max="8192" width="11.42578125" style="9"/>
    <col min="8193" max="8193" width="7" style="9" customWidth="1"/>
    <col min="8194" max="8194" width="12.5703125" style="9" customWidth="1"/>
    <col min="8195" max="8202" width="8.7109375" style="9" customWidth="1"/>
    <col min="8203" max="8448" width="11.42578125" style="9"/>
    <col min="8449" max="8449" width="7" style="9" customWidth="1"/>
    <col min="8450" max="8450" width="12.5703125" style="9" customWidth="1"/>
    <col min="8451" max="8458" width="8.7109375" style="9" customWidth="1"/>
    <col min="8459" max="8704" width="11.42578125" style="9"/>
    <col min="8705" max="8705" width="7" style="9" customWidth="1"/>
    <col min="8706" max="8706" width="12.5703125" style="9" customWidth="1"/>
    <col min="8707" max="8714" width="8.7109375" style="9" customWidth="1"/>
    <col min="8715" max="8960" width="11.42578125" style="9"/>
    <col min="8961" max="8961" width="7" style="9" customWidth="1"/>
    <col min="8962" max="8962" width="12.5703125" style="9" customWidth="1"/>
    <col min="8963" max="8970" width="8.7109375" style="9" customWidth="1"/>
    <col min="8971" max="9216" width="11.42578125" style="9"/>
    <col min="9217" max="9217" width="7" style="9" customWidth="1"/>
    <col min="9218" max="9218" width="12.5703125" style="9" customWidth="1"/>
    <col min="9219" max="9226" width="8.7109375" style="9" customWidth="1"/>
    <col min="9227" max="9472" width="11.42578125" style="9"/>
    <col min="9473" max="9473" width="7" style="9" customWidth="1"/>
    <col min="9474" max="9474" width="12.5703125" style="9" customWidth="1"/>
    <col min="9475" max="9482" width="8.7109375" style="9" customWidth="1"/>
    <col min="9483" max="9728" width="11.42578125" style="9"/>
    <col min="9729" max="9729" width="7" style="9" customWidth="1"/>
    <col min="9730" max="9730" width="12.5703125" style="9" customWidth="1"/>
    <col min="9731" max="9738" width="8.7109375" style="9" customWidth="1"/>
    <col min="9739" max="9984" width="11.42578125" style="9"/>
    <col min="9985" max="9985" width="7" style="9" customWidth="1"/>
    <col min="9986" max="9986" width="12.5703125" style="9" customWidth="1"/>
    <col min="9987" max="9994" width="8.7109375" style="9" customWidth="1"/>
    <col min="9995" max="10240" width="11.42578125" style="9"/>
    <col min="10241" max="10241" width="7" style="9" customWidth="1"/>
    <col min="10242" max="10242" width="12.5703125" style="9" customWidth="1"/>
    <col min="10243" max="10250" width="8.7109375" style="9" customWidth="1"/>
    <col min="10251" max="10496" width="11.42578125" style="9"/>
    <col min="10497" max="10497" width="7" style="9" customWidth="1"/>
    <col min="10498" max="10498" width="12.5703125" style="9" customWidth="1"/>
    <col min="10499" max="10506" width="8.7109375" style="9" customWidth="1"/>
    <col min="10507" max="10752" width="11.42578125" style="9"/>
    <col min="10753" max="10753" width="7" style="9" customWidth="1"/>
    <col min="10754" max="10754" width="12.5703125" style="9" customWidth="1"/>
    <col min="10755" max="10762" width="8.7109375" style="9" customWidth="1"/>
    <col min="10763" max="11008" width="11.42578125" style="9"/>
    <col min="11009" max="11009" width="7" style="9" customWidth="1"/>
    <col min="11010" max="11010" width="12.5703125" style="9" customWidth="1"/>
    <col min="11011" max="11018" width="8.7109375" style="9" customWidth="1"/>
    <col min="11019" max="11264" width="11.42578125" style="9"/>
    <col min="11265" max="11265" width="7" style="9" customWidth="1"/>
    <col min="11266" max="11266" width="12.5703125" style="9" customWidth="1"/>
    <col min="11267" max="11274" width="8.7109375" style="9" customWidth="1"/>
    <col min="11275" max="11520" width="11.42578125" style="9"/>
    <col min="11521" max="11521" width="7" style="9" customWidth="1"/>
    <col min="11522" max="11522" width="12.5703125" style="9" customWidth="1"/>
    <col min="11523" max="11530" width="8.7109375" style="9" customWidth="1"/>
    <col min="11531" max="11776" width="11.42578125" style="9"/>
    <col min="11777" max="11777" width="7" style="9" customWidth="1"/>
    <col min="11778" max="11778" width="12.5703125" style="9" customWidth="1"/>
    <col min="11779" max="11786" width="8.7109375" style="9" customWidth="1"/>
    <col min="11787" max="12032" width="11.42578125" style="9"/>
    <col min="12033" max="12033" width="7" style="9" customWidth="1"/>
    <col min="12034" max="12034" width="12.5703125" style="9" customWidth="1"/>
    <col min="12035" max="12042" width="8.7109375" style="9" customWidth="1"/>
    <col min="12043" max="12288" width="11.42578125" style="9"/>
    <col min="12289" max="12289" width="7" style="9" customWidth="1"/>
    <col min="12290" max="12290" width="12.5703125" style="9" customWidth="1"/>
    <col min="12291" max="12298" width="8.7109375" style="9" customWidth="1"/>
    <col min="12299" max="12544" width="11.42578125" style="9"/>
    <col min="12545" max="12545" width="7" style="9" customWidth="1"/>
    <col min="12546" max="12546" width="12.5703125" style="9" customWidth="1"/>
    <col min="12547" max="12554" width="8.7109375" style="9" customWidth="1"/>
    <col min="12555" max="12800" width="11.42578125" style="9"/>
    <col min="12801" max="12801" width="7" style="9" customWidth="1"/>
    <col min="12802" max="12802" width="12.5703125" style="9" customWidth="1"/>
    <col min="12803" max="12810" width="8.7109375" style="9" customWidth="1"/>
    <col min="12811" max="13056" width="11.42578125" style="9"/>
    <col min="13057" max="13057" width="7" style="9" customWidth="1"/>
    <col min="13058" max="13058" width="12.5703125" style="9" customWidth="1"/>
    <col min="13059" max="13066" width="8.7109375" style="9" customWidth="1"/>
    <col min="13067" max="13312" width="11.42578125" style="9"/>
    <col min="13313" max="13313" width="7" style="9" customWidth="1"/>
    <col min="13314" max="13314" width="12.5703125" style="9" customWidth="1"/>
    <col min="13315" max="13322" width="8.7109375" style="9" customWidth="1"/>
    <col min="13323" max="13568" width="11.42578125" style="9"/>
    <col min="13569" max="13569" width="7" style="9" customWidth="1"/>
    <col min="13570" max="13570" width="12.5703125" style="9" customWidth="1"/>
    <col min="13571" max="13578" width="8.7109375" style="9" customWidth="1"/>
    <col min="13579" max="13824" width="11.42578125" style="9"/>
    <col min="13825" max="13825" width="7" style="9" customWidth="1"/>
    <col min="13826" max="13826" width="12.5703125" style="9" customWidth="1"/>
    <col min="13827" max="13834" width="8.7109375" style="9" customWidth="1"/>
    <col min="13835" max="14080" width="11.42578125" style="9"/>
    <col min="14081" max="14081" width="7" style="9" customWidth="1"/>
    <col min="14082" max="14082" width="12.5703125" style="9" customWidth="1"/>
    <col min="14083" max="14090" width="8.7109375" style="9" customWidth="1"/>
    <col min="14091" max="14336" width="11.42578125" style="9"/>
    <col min="14337" max="14337" width="7" style="9" customWidth="1"/>
    <col min="14338" max="14338" width="12.5703125" style="9" customWidth="1"/>
    <col min="14339" max="14346" width="8.7109375" style="9" customWidth="1"/>
    <col min="14347" max="14592" width="11.42578125" style="9"/>
    <col min="14593" max="14593" width="7" style="9" customWidth="1"/>
    <col min="14594" max="14594" width="12.5703125" style="9" customWidth="1"/>
    <col min="14595" max="14602" width="8.7109375" style="9" customWidth="1"/>
    <col min="14603" max="14848" width="11.42578125" style="9"/>
    <col min="14849" max="14849" width="7" style="9" customWidth="1"/>
    <col min="14850" max="14850" width="12.5703125" style="9" customWidth="1"/>
    <col min="14851" max="14858" width="8.7109375" style="9" customWidth="1"/>
    <col min="14859" max="15104" width="11.42578125" style="9"/>
    <col min="15105" max="15105" width="7" style="9" customWidth="1"/>
    <col min="15106" max="15106" width="12.5703125" style="9" customWidth="1"/>
    <col min="15107" max="15114" width="8.7109375" style="9" customWidth="1"/>
    <col min="15115" max="15360" width="11.42578125" style="9"/>
    <col min="15361" max="15361" width="7" style="9" customWidth="1"/>
    <col min="15362" max="15362" width="12.5703125" style="9" customWidth="1"/>
    <col min="15363" max="15370" width="8.7109375" style="9" customWidth="1"/>
    <col min="15371" max="15616" width="11.42578125" style="9"/>
    <col min="15617" max="15617" width="7" style="9" customWidth="1"/>
    <col min="15618" max="15618" width="12.5703125" style="9" customWidth="1"/>
    <col min="15619" max="15626" width="8.7109375" style="9" customWidth="1"/>
    <col min="15627" max="15872" width="11.42578125" style="9"/>
    <col min="15873" max="15873" width="7" style="9" customWidth="1"/>
    <col min="15874" max="15874" width="12.5703125" style="9" customWidth="1"/>
    <col min="15875" max="15882" width="8.7109375" style="9" customWidth="1"/>
    <col min="15883" max="16128" width="11.42578125" style="9"/>
    <col min="16129" max="16129" width="7" style="9" customWidth="1"/>
    <col min="16130" max="16130" width="12.5703125" style="9" customWidth="1"/>
    <col min="16131" max="16138" width="8.7109375" style="9" customWidth="1"/>
    <col min="16139" max="16384" width="11.42578125" style="9"/>
  </cols>
  <sheetData>
    <row r="1" spans="1:18">
      <c r="A1" s="5" t="s">
        <v>424</v>
      </c>
      <c r="B1" s="6"/>
      <c r="C1" s="6"/>
      <c r="D1" s="6" t="s">
        <v>425</v>
      </c>
      <c r="E1" s="6"/>
      <c r="F1" s="6"/>
      <c r="G1" s="6"/>
      <c r="H1" s="6"/>
      <c r="I1" s="6"/>
      <c r="J1" s="6"/>
      <c r="K1" s="6"/>
      <c r="L1" s="7"/>
      <c r="M1" s="7"/>
      <c r="N1" s="7"/>
      <c r="O1" s="7"/>
      <c r="P1" s="7"/>
      <c r="Q1" s="7"/>
      <c r="R1" s="8"/>
    </row>
    <row r="2" spans="1:18">
      <c r="A2" s="6"/>
      <c r="B2" s="6" t="s">
        <v>426</v>
      </c>
      <c r="C2" s="6" t="s">
        <v>427</v>
      </c>
      <c r="D2" s="8"/>
      <c r="E2" s="6">
        <f>B5</f>
        <v>0.94786729857819907</v>
      </c>
      <c r="F2" s="6" t="s">
        <v>428</v>
      </c>
      <c r="G2" s="10"/>
      <c r="H2" s="6"/>
      <c r="I2" s="6"/>
      <c r="J2" s="6"/>
      <c r="K2" s="6"/>
      <c r="L2" s="7"/>
      <c r="M2" s="7"/>
      <c r="N2" s="7"/>
      <c r="O2" s="7"/>
      <c r="P2" s="7"/>
      <c r="Q2" s="7"/>
      <c r="R2" s="8"/>
    </row>
    <row r="3" spans="1:18">
      <c r="A3" s="11" t="s">
        <v>429</v>
      </c>
      <c r="B3" s="12" t="s">
        <v>428</v>
      </c>
      <c r="C3" s="12" t="s">
        <v>430</v>
      </c>
      <c r="D3" s="12" t="s">
        <v>431</v>
      </c>
      <c r="E3" s="12" t="s">
        <v>432</v>
      </c>
      <c r="F3" s="12" t="s">
        <v>433</v>
      </c>
      <c r="G3" s="12" t="s">
        <v>434</v>
      </c>
      <c r="H3" s="12" t="s">
        <v>435</v>
      </c>
      <c r="I3" s="12" t="s">
        <v>436</v>
      </c>
      <c r="J3" s="12" t="s">
        <v>604</v>
      </c>
      <c r="K3" s="12" t="s">
        <v>438</v>
      </c>
      <c r="L3" s="12" t="s">
        <v>439</v>
      </c>
      <c r="M3" s="12" t="s">
        <v>440</v>
      </c>
      <c r="N3" s="12" t="s">
        <v>441</v>
      </c>
      <c r="O3" s="12" t="s">
        <v>442</v>
      </c>
      <c r="P3" s="12" t="s">
        <v>443</v>
      </c>
      <c r="Q3" s="12" t="s">
        <v>444</v>
      </c>
      <c r="R3" s="12" t="s">
        <v>445</v>
      </c>
    </row>
    <row r="4" spans="1:18">
      <c r="A4" s="13" t="s">
        <v>428</v>
      </c>
      <c r="B4" s="14">
        <v>1</v>
      </c>
      <c r="C4" s="15">
        <f>F4/F20*C20</f>
        <v>1.0549999999999999</v>
      </c>
      <c r="D4" s="15">
        <f>1/B6</f>
        <v>3.5997488706001171E-5</v>
      </c>
      <c r="E4" s="15">
        <f>1/B7</f>
        <v>2.8316846592000004E-2</v>
      </c>
      <c r="F4" s="10">
        <v>1000</v>
      </c>
      <c r="G4" s="15">
        <f>$F4/$F6*G6</f>
        <v>2.5198242094200818E-5</v>
      </c>
      <c r="H4" s="15">
        <f>$F4/$F6*H6</f>
        <v>1.8470311455049204E-4</v>
      </c>
      <c r="I4" s="15">
        <f>+J4*8760</f>
        <v>0.29305555555555562</v>
      </c>
      <c r="J4" s="15">
        <f>$F4/$F6*J6</f>
        <v>3.3453830542871646E-5</v>
      </c>
      <c r="K4" s="15">
        <f>$F4/$F6*K6</f>
        <v>251.98242094200819</v>
      </c>
      <c r="L4" s="15">
        <f>$F4/$F6*L6</f>
        <v>1.0550000000000001E-6</v>
      </c>
      <c r="M4" s="15">
        <f t="shared" ref="M4:M14" si="0">K4/10^6</f>
        <v>2.5198242094200818E-4</v>
      </c>
      <c r="N4" s="15">
        <f t="shared" ref="N4:N15" si="1">G4/10^6</f>
        <v>2.5198242094200818E-11</v>
      </c>
      <c r="O4" s="15">
        <f t="shared" ref="O4:O16" si="2">F4/10^6</f>
        <v>1E-3</v>
      </c>
      <c r="P4" s="15">
        <f>Q4/Q$19*P$19</f>
        <v>2.930555555555556E-7</v>
      </c>
      <c r="Q4" s="15">
        <f t="shared" ref="Q4:Q10" si="3">J4/1000000</f>
        <v>3.3453830542871643E-11</v>
      </c>
      <c r="R4" s="15">
        <f t="shared" ref="R4:R10" si="4">C4*10^(-9)</f>
        <v>1.055E-9</v>
      </c>
    </row>
    <row r="5" spans="1:18">
      <c r="A5" s="13" t="s">
        <v>430</v>
      </c>
      <c r="B5" s="15">
        <f>1/C4</f>
        <v>0.94786729857819907</v>
      </c>
      <c r="C5" s="14">
        <v>1</v>
      </c>
      <c r="D5" s="15">
        <f>1/C6</f>
        <v>3.4120842375356554E-5</v>
      </c>
      <c r="E5" s="15">
        <f>1/C7</f>
        <v>2.6840612883412329E-2</v>
      </c>
      <c r="F5" s="15">
        <f>1/C8</f>
        <v>947.8672985781991</v>
      </c>
      <c r="G5" s="15">
        <f>1/C9</f>
        <v>2.3884589662749594E-5</v>
      </c>
      <c r="H5" s="15">
        <f>G5/G9*H9</f>
        <v>1.7507404222795453E-4</v>
      </c>
      <c r="I5" s="15">
        <f t="shared" ref="I5:I20" si="5">+J5*8760</f>
        <v>0.27777777777777779</v>
      </c>
      <c r="J5" s="15">
        <f>1/C12</f>
        <v>3.1709791983764585E-5</v>
      </c>
      <c r="K5" s="15">
        <f>G5*10^7</f>
        <v>238.84589662749593</v>
      </c>
      <c r="L5" s="15">
        <f>C5/1000000</f>
        <v>9.9999999999999995E-7</v>
      </c>
      <c r="M5" s="15">
        <f t="shared" si="0"/>
        <v>2.3884589662749594E-4</v>
      </c>
      <c r="N5" s="15">
        <f t="shared" si="1"/>
        <v>2.3884589662749594E-11</v>
      </c>
      <c r="O5" s="15">
        <f t="shared" si="2"/>
        <v>9.4786729857819908E-4</v>
      </c>
      <c r="P5" s="15">
        <f>1/C18</f>
        <v>2.7777777777777776E-7</v>
      </c>
      <c r="Q5" s="15">
        <f t="shared" si="3"/>
        <v>3.1709791983764586E-11</v>
      </c>
      <c r="R5" s="15">
        <f t="shared" si="4"/>
        <v>1.0000000000000001E-9</v>
      </c>
    </row>
    <row r="6" spans="1:18">
      <c r="A6" s="13" t="s">
        <v>431</v>
      </c>
      <c r="B6" s="15">
        <f>G6/G7*B7</f>
        <v>27779.715639810427</v>
      </c>
      <c r="C6" s="15">
        <f>$K6/$K9*C9</f>
        <v>29307.600000000006</v>
      </c>
      <c r="D6" s="14">
        <v>1</v>
      </c>
      <c r="E6" s="15">
        <f>$K6/$K9*E9</f>
        <v>786.63394614189531</v>
      </c>
      <c r="F6" s="15">
        <f>$K6/$K9*F9</f>
        <v>27779715.639810428</v>
      </c>
      <c r="G6" s="10">
        <v>0.7</v>
      </c>
      <c r="H6" s="15">
        <f>$K6/$K9*H9</f>
        <v>5.1310000000000011</v>
      </c>
      <c r="I6" s="15">
        <f t="shared" si="5"/>
        <v>8141.0000000000018</v>
      </c>
      <c r="J6" s="15">
        <f>$K6/$K9*J9</f>
        <v>0.9293378995433792</v>
      </c>
      <c r="K6" s="15">
        <f>G6*10^7</f>
        <v>7000000</v>
      </c>
      <c r="L6" s="15">
        <f>C6/1000000</f>
        <v>2.9307600000000007E-2</v>
      </c>
      <c r="M6" s="15">
        <f t="shared" si="0"/>
        <v>7</v>
      </c>
      <c r="N6" s="15">
        <f t="shared" si="1"/>
        <v>6.9999999999999997E-7</v>
      </c>
      <c r="O6" s="15">
        <f t="shared" si="2"/>
        <v>27.779715639810426</v>
      </c>
      <c r="P6" s="15">
        <f>Q6/Q$19*P$19</f>
        <v>8.1410000000000024E-3</v>
      </c>
      <c r="Q6" s="15">
        <f t="shared" si="3"/>
        <v>9.2933789954337924E-7</v>
      </c>
      <c r="R6" s="15">
        <f t="shared" si="4"/>
        <v>2.9307600000000007E-5</v>
      </c>
    </row>
    <row r="7" spans="1:18">
      <c r="A7" s="13" t="s">
        <v>446</v>
      </c>
      <c r="B7" s="10">
        <f>1/0.3048^3</f>
        <v>35.314666721488585</v>
      </c>
      <c r="C7" s="15">
        <f>B7/B4*C4</f>
        <v>37.256973391170455</v>
      </c>
      <c r="D7" s="15">
        <f>1/E6</f>
        <v>1.2712393164629806E-3</v>
      </c>
      <c r="E7" s="14">
        <v>1</v>
      </c>
      <c r="F7" s="15">
        <f>G7/G8*F8</f>
        <v>35314.666721488582</v>
      </c>
      <c r="G7" s="15">
        <f>C7/C9*G9</f>
        <v>8.8986752152408653E-4</v>
      </c>
      <c r="H7" s="15">
        <f>H9*G7</f>
        <v>6.5227289327715546E-3</v>
      </c>
      <c r="I7" s="15">
        <f t="shared" si="5"/>
        <v>10.349159275325126</v>
      </c>
      <c r="J7" s="15">
        <f>C7/C5*J5</f>
        <v>1.1814108761786673E-3</v>
      </c>
      <c r="K7" s="15">
        <f>G7*10^7</f>
        <v>8898.6752152408644</v>
      </c>
      <c r="L7" s="15">
        <f>C7/1000000</f>
        <v>3.7256973391170452E-5</v>
      </c>
      <c r="M7" s="15">
        <f t="shared" si="0"/>
        <v>8.898675215240865E-3</v>
      </c>
      <c r="N7" s="15">
        <f t="shared" si="1"/>
        <v>8.8986752152408655E-10</v>
      </c>
      <c r="O7" s="15">
        <f t="shared" si="2"/>
        <v>3.5314666721488579E-2</v>
      </c>
      <c r="P7" s="15">
        <f>Q7/Q$19*P$19</f>
        <v>1.0349159275325126E-5</v>
      </c>
      <c r="Q7" s="15">
        <f t="shared" si="3"/>
        <v>1.1814108761786673E-9</v>
      </c>
      <c r="R7" s="15">
        <f t="shared" si="4"/>
        <v>3.7256973391170458E-8</v>
      </c>
    </row>
    <row r="8" spans="1:18">
      <c r="A8" s="13" t="s">
        <v>433</v>
      </c>
      <c r="B8" s="15">
        <f>1/F4</f>
        <v>1E-3</v>
      </c>
      <c r="C8" s="10">
        <f>1.055/10^3</f>
        <v>1.0549999999999999E-3</v>
      </c>
      <c r="D8" s="15">
        <f>1/F6</f>
        <v>3.5997488706001172E-8</v>
      </c>
      <c r="E8" s="15">
        <f>1/F7</f>
        <v>2.8316846592000006E-5</v>
      </c>
      <c r="F8" s="14">
        <v>1</v>
      </c>
      <c r="G8" s="15">
        <f>B8/B7*G7</f>
        <v>2.5198242094200823E-8</v>
      </c>
      <c r="H8" s="15">
        <f>G8*H9</f>
        <v>1.8470311455049203E-7</v>
      </c>
      <c r="I8" s="15">
        <f t="shared" si="5"/>
        <v>2.9305555555555552E-4</v>
      </c>
      <c r="J8" s="15">
        <f>G8/G9*J9</f>
        <v>3.3453830542871636E-8</v>
      </c>
      <c r="K8" s="15">
        <f>G8*10^7</f>
        <v>0.25198242094200823</v>
      </c>
      <c r="L8" s="15">
        <f>C8/1000000</f>
        <v>1.055E-9</v>
      </c>
      <c r="M8" s="15">
        <f t="shared" si="0"/>
        <v>2.5198242094200821E-7</v>
      </c>
      <c r="N8" s="15">
        <f t="shared" si="1"/>
        <v>2.5198242094200822E-14</v>
      </c>
      <c r="O8" s="15">
        <f t="shared" si="2"/>
        <v>9.9999999999999995E-7</v>
      </c>
      <c r="P8" s="15">
        <f>Q8/Q$19*P$19</f>
        <v>2.9305555555555556E-10</v>
      </c>
      <c r="Q8" s="15">
        <f t="shared" si="3"/>
        <v>3.3453830542871637E-14</v>
      </c>
      <c r="R8" s="15">
        <f t="shared" si="4"/>
        <v>1.055E-12</v>
      </c>
    </row>
    <row r="9" spans="1:18">
      <c r="A9" s="13" t="s">
        <v>434</v>
      </c>
      <c r="B9" s="15">
        <f>$G9/$G7*B7</f>
        <v>39685.30805687204</v>
      </c>
      <c r="C9" s="10">
        <v>41868</v>
      </c>
      <c r="D9" s="15">
        <f>1/G6</f>
        <v>1.4285714285714286</v>
      </c>
      <c r="E9" s="15">
        <f>1/G7</f>
        <v>1123.7627802027073</v>
      </c>
      <c r="F9" s="15">
        <f>1/G8</f>
        <v>39685308.056872033</v>
      </c>
      <c r="G9" s="14">
        <v>1</v>
      </c>
      <c r="H9" s="10">
        <v>7.33</v>
      </c>
      <c r="I9" s="15">
        <f t="shared" si="5"/>
        <v>11630</v>
      </c>
      <c r="J9" s="15">
        <f>$G9/$G7*J7</f>
        <v>1.3276255707762556</v>
      </c>
      <c r="K9" s="15">
        <f>$G9/$G7*K7</f>
        <v>9999999.9999999981</v>
      </c>
      <c r="L9" s="15">
        <f>$G9/$G7*L7</f>
        <v>4.1867999999999995E-2</v>
      </c>
      <c r="M9" s="15">
        <f t="shared" si="0"/>
        <v>9.9999999999999982</v>
      </c>
      <c r="N9" s="15">
        <f t="shared" si="1"/>
        <v>9.9999999999999995E-7</v>
      </c>
      <c r="O9" s="15">
        <f t="shared" si="2"/>
        <v>39.685308056872032</v>
      </c>
      <c r="P9" s="15">
        <f>Q9/Q$19*P$19</f>
        <v>1.163E-2</v>
      </c>
      <c r="Q9" s="15">
        <f t="shared" si="3"/>
        <v>1.3276255707762557E-6</v>
      </c>
      <c r="R9" s="15">
        <f t="shared" si="4"/>
        <v>4.1868E-5</v>
      </c>
    </row>
    <row r="10" spans="1:18">
      <c r="A10" s="13" t="s">
        <v>435</v>
      </c>
      <c r="B10" s="15">
        <f>1/H4</f>
        <v>5414.0938686046429</v>
      </c>
      <c r="C10" s="15">
        <f>1/H5</f>
        <v>5711.8690313778989</v>
      </c>
      <c r="D10" s="15">
        <f>1/H6</f>
        <v>0.19489378288832582</v>
      </c>
      <c r="E10" s="15">
        <f>1/H7</f>
        <v>153.31006551196552</v>
      </c>
      <c r="F10" s="15">
        <f>1/H8</f>
        <v>5414093.8686046433</v>
      </c>
      <c r="G10" s="15">
        <f>1/H9</f>
        <v>0.13642564802182811</v>
      </c>
      <c r="H10" s="14">
        <v>1</v>
      </c>
      <c r="I10" s="15">
        <f t="shared" si="5"/>
        <v>1586.6302864938609</v>
      </c>
      <c r="J10" s="15">
        <f>J9/$H9*$H10</f>
        <v>0.1811221788235001</v>
      </c>
      <c r="K10" s="15">
        <f>G10*10^7</f>
        <v>1364256.480218281</v>
      </c>
      <c r="L10" s="15">
        <f>C10/1000000</f>
        <v>5.711869031377899E-3</v>
      </c>
      <c r="M10" s="15">
        <f t="shared" si="0"/>
        <v>1.3642564802182811</v>
      </c>
      <c r="N10" s="15">
        <f t="shared" si="1"/>
        <v>1.3642564802182809E-7</v>
      </c>
      <c r="O10" s="15">
        <f t="shared" si="2"/>
        <v>5.4140938686046436</v>
      </c>
      <c r="P10" s="15">
        <f>Q10/Q$19*P$19</f>
        <v>1.5866302864938609E-3</v>
      </c>
      <c r="Q10" s="15">
        <f t="shared" si="3"/>
        <v>1.811221788235001E-7</v>
      </c>
      <c r="R10" s="15">
        <f t="shared" si="4"/>
        <v>5.711869031377899E-6</v>
      </c>
    </row>
    <row r="11" spans="1:18">
      <c r="A11" s="13" t="s">
        <v>436</v>
      </c>
      <c r="B11" s="15">
        <f>+B12/8760</f>
        <v>3.4123222748815158</v>
      </c>
      <c r="C11" s="15">
        <f t="shared" ref="C11:R11" si="6">+C12/8760</f>
        <v>3.6</v>
      </c>
      <c r="D11" s="15">
        <f t="shared" si="6"/>
        <v>1.2283503255128359E-4</v>
      </c>
      <c r="E11" s="15">
        <f t="shared" si="6"/>
        <v>9.6626206380284393E-2</v>
      </c>
      <c r="F11" s="15">
        <f t="shared" si="6"/>
        <v>3412.3222748815165</v>
      </c>
      <c r="G11" s="15">
        <f t="shared" si="6"/>
        <v>8.5984522785898537E-5</v>
      </c>
      <c r="H11" s="15">
        <f t="shared" si="6"/>
        <v>6.3026655202063622E-4</v>
      </c>
      <c r="I11" s="14">
        <v>1</v>
      </c>
      <c r="J11" s="15">
        <f t="shared" si="6"/>
        <v>1.1415525114155251E-4</v>
      </c>
      <c r="K11" s="15">
        <f t="shared" si="6"/>
        <v>859.84522785898537</v>
      </c>
      <c r="L11" s="15">
        <f t="shared" si="6"/>
        <v>3.6000000000000003E-6</v>
      </c>
      <c r="M11" s="15">
        <f t="shared" si="6"/>
        <v>8.5984522785898529E-4</v>
      </c>
      <c r="N11" s="15">
        <f t="shared" si="6"/>
        <v>8.5984522785898545E-11</v>
      </c>
      <c r="O11" s="15">
        <f t="shared" si="6"/>
        <v>3.4123222748815162E-3</v>
      </c>
      <c r="P11" s="15">
        <f t="shared" si="6"/>
        <v>9.9999999999999995E-7</v>
      </c>
      <c r="Q11" s="15">
        <f t="shared" si="6"/>
        <v>1.1415525114155251E-10</v>
      </c>
      <c r="R11" s="15">
        <f t="shared" si="6"/>
        <v>3.5999999999999996E-9</v>
      </c>
    </row>
    <row r="12" spans="1:18">
      <c r="A12" s="13" t="s">
        <v>437</v>
      </c>
      <c r="B12" s="15">
        <f>1/J4</f>
        <v>29891.94312796208</v>
      </c>
      <c r="C12" s="15">
        <f>$H12/$H9*C9</f>
        <v>31536</v>
      </c>
      <c r="D12" s="15">
        <f>1/J6</f>
        <v>1.0760348851492443</v>
      </c>
      <c r="E12" s="15">
        <f>1/J7</f>
        <v>846.44556789129126</v>
      </c>
      <c r="F12" s="15">
        <f>F4/R4*R12</f>
        <v>29891943.127962083</v>
      </c>
      <c r="G12" s="15">
        <f>$H12/$H9*G9</f>
        <v>0.75322441960447117</v>
      </c>
      <c r="H12" s="15">
        <f>F12/F10*H10</f>
        <v>5.5211349957007734</v>
      </c>
      <c r="I12" s="15">
        <f t="shared" si="5"/>
        <v>8760</v>
      </c>
      <c r="J12" s="14">
        <v>1</v>
      </c>
      <c r="K12" s="15">
        <f>G12*10^7</f>
        <v>7532244.1960447114</v>
      </c>
      <c r="L12" s="15">
        <f>C12/1000000</f>
        <v>3.1536000000000002E-2</v>
      </c>
      <c r="M12" s="15">
        <f t="shared" si="0"/>
        <v>7.5322441960447115</v>
      </c>
      <c r="N12" s="15">
        <f t="shared" si="1"/>
        <v>7.532244196044712E-7</v>
      </c>
      <c r="O12" s="15">
        <f t="shared" si="2"/>
        <v>29.891943127962083</v>
      </c>
      <c r="P12" s="15">
        <f>P19/10^6</f>
        <v>8.7600000000000004E-3</v>
      </c>
      <c r="Q12" s="15">
        <f>Q19/10^6</f>
        <v>9.9999999999999995E-7</v>
      </c>
      <c r="R12" s="15">
        <f>R20/Q20*Q12</f>
        <v>3.1535999999999998E-5</v>
      </c>
    </row>
    <row r="13" spans="1:18">
      <c r="A13" s="13" t="s">
        <v>438</v>
      </c>
      <c r="B13" s="15">
        <f t="shared" ref="B13:J13" si="7">B9*10^(-7)</f>
        <v>3.9685308056872041E-3</v>
      </c>
      <c r="C13" s="15">
        <f t="shared" si="7"/>
        <v>4.1868000000000001E-3</v>
      </c>
      <c r="D13" s="15">
        <f t="shared" si="7"/>
        <v>1.4285714285714285E-7</v>
      </c>
      <c r="E13" s="15">
        <f t="shared" si="7"/>
        <v>1.1237627802027073E-4</v>
      </c>
      <c r="F13" s="15">
        <f t="shared" si="7"/>
        <v>3.9685308056872031</v>
      </c>
      <c r="G13" s="15">
        <f t="shared" si="7"/>
        <v>9.9999999999999995E-8</v>
      </c>
      <c r="H13" s="15">
        <f t="shared" si="7"/>
        <v>7.3300000000000001E-7</v>
      </c>
      <c r="I13" s="15">
        <f t="shared" si="5"/>
        <v>1.163E-3</v>
      </c>
      <c r="J13" s="15">
        <f t="shared" si="7"/>
        <v>1.3276255707762556E-7</v>
      </c>
      <c r="K13" s="14">
        <v>1</v>
      </c>
      <c r="L13" s="15">
        <f>L9*10^(-7)</f>
        <v>4.1867999999999996E-9</v>
      </c>
      <c r="M13" s="15">
        <f t="shared" si="0"/>
        <v>9.9999999999999995E-7</v>
      </c>
      <c r="N13" s="15">
        <f t="shared" si="1"/>
        <v>9.999999999999999E-14</v>
      </c>
      <c r="O13" s="15">
        <f t="shared" si="2"/>
        <v>3.9685308056872029E-6</v>
      </c>
      <c r="P13" s="15">
        <f>Q13/Q$19*P$19</f>
        <v>1.163E-9</v>
      </c>
      <c r="Q13" s="15">
        <f>Q9*10^(-7)</f>
        <v>1.3276255707762557E-13</v>
      </c>
      <c r="R13" s="15">
        <f t="shared" ref="R13:R18" si="8">C13*10^(-9)</f>
        <v>4.1868000000000007E-12</v>
      </c>
    </row>
    <row r="14" spans="1:18">
      <c r="A14" s="13" t="s">
        <v>439</v>
      </c>
      <c r="B14" s="15">
        <f t="shared" ref="B14:J14" si="9">B5*10^6</f>
        <v>947867.29857819912</v>
      </c>
      <c r="C14" s="15">
        <f t="shared" si="9"/>
        <v>1000000</v>
      </c>
      <c r="D14" s="15">
        <f t="shared" si="9"/>
        <v>34.120842375356553</v>
      </c>
      <c r="E14" s="15">
        <f t="shared" si="9"/>
        <v>26840.61288341233</v>
      </c>
      <c r="F14" s="15">
        <f t="shared" si="9"/>
        <v>947867298.57819915</v>
      </c>
      <c r="G14" s="15">
        <f t="shared" si="9"/>
        <v>23.884589662749594</v>
      </c>
      <c r="H14" s="15">
        <f t="shared" si="9"/>
        <v>175.07404222795452</v>
      </c>
      <c r="I14" s="15">
        <f t="shared" si="5"/>
        <v>277777.77777777775</v>
      </c>
      <c r="J14" s="15">
        <f t="shared" si="9"/>
        <v>31.709791983764585</v>
      </c>
      <c r="K14" s="15">
        <f>G14*10^7</f>
        <v>238845896.62749594</v>
      </c>
      <c r="L14" s="14">
        <v>1</v>
      </c>
      <c r="M14" s="15">
        <f t="shared" si="0"/>
        <v>238.84589662749593</v>
      </c>
      <c r="N14" s="15">
        <f t="shared" si="1"/>
        <v>2.3884589662749594E-5</v>
      </c>
      <c r="O14" s="15">
        <f t="shared" si="2"/>
        <v>947.8672985781991</v>
      </c>
      <c r="P14" s="15">
        <f>Q14/Q$19*P$19</f>
        <v>0.27777777777777779</v>
      </c>
      <c r="Q14" s="15">
        <f>Q5*10^6</f>
        <v>3.1709791983764585E-5</v>
      </c>
      <c r="R14" s="15">
        <f t="shared" si="8"/>
        <v>1E-3</v>
      </c>
    </row>
    <row r="15" spans="1:18">
      <c r="A15" s="13" t="s">
        <v>440</v>
      </c>
      <c r="B15" s="15">
        <f t="shared" ref="B15:J15" si="10">B9/10</f>
        <v>3968.5308056872041</v>
      </c>
      <c r="C15" s="15">
        <f t="shared" si="10"/>
        <v>4186.8</v>
      </c>
      <c r="D15" s="15">
        <f t="shared" si="10"/>
        <v>0.14285714285714285</v>
      </c>
      <c r="E15" s="15">
        <f t="shared" si="10"/>
        <v>112.37627802027073</v>
      </c>
      <c r="F15" s="15">
        <f t="shared" si="10"/>
        <v>3968530.8056872031</v>
      </c>
      <c r="G15" s="15">
        <f t="shared" si="10"/>
        <v>0.1</v>
      </c>
      <c r="H15" s="15">
        <f t="shared" si="10"/>
        <v>0.73299999999999998</v>
      </c>
      <c r="I15" s="15">
        <f t="shared" si="5"/>
        <v>1163</v>
      </c>
      <c r="J15" s="15">
        <f t="shared" si="10"/>
        <v>0.13276255707762558</v>
      </c>
      <c r="K15" s="15">
        <f>G15*10^7</f>
        <v>1000000</v>
      </c>
      <c r="L15" s="15">
        <f>L9/10</f>
        <v>4.1867999999999992E-3</v>
      </c>
      <c r="M15" s="14">
        <v>1</v>
      </c>
      <c r="N15" s="15">
        <f t="shared" si="1"/>
        <v>1.0000000000000001E-7</v>
      </c>
      <c r="O15" s="15">
        <f t="shared" si="2"/>
        <v>3.9685308056872031</v>
      </c>
      <c r="P15" s="15">
        <f>Q15/Q$19*P$19</f>
        <v>1.1630000000000002E-3</v>
      </c>
      <c r="Q15" s="15">
        <f>Q9/10</f>
        <v>1.3276255707762558E-7</v>
      </c>
      <c r="R15" s="15">
        <f t="shared" si="8"/>
        <v>4.1868000000000003E-6</v>
      </c>
    </row>
    <row r="16" spans="1:18">
      <c r="A16" s="13" t="s">
        <v>441</v>
      </c>
      <c r="B16" s="15">
        <f t="shared" ref="B16:J16" si="11">B9*10^6</f>
        <v>39685308056.87204</v>
      </c>
      <c r="C16" s="15">
        <f t="shared" si="11"/>
        <v>41868000000</v>
      </c>
      <c r="D16" s="15">
        <f t="shared" si="11"/>
        <v>1428571.4285714286</v>
      </c>
      <c r="E16" s="15">
        <f t="shared" si="11"/>
        <v>1123762780.2027073</v>
      </c>
      <c r="F16" s="15">
        <f t="shared" si="11"/>
        <v>39685308056872.031</v>
      </c>
      <c r="G16" s="15">
        <f t="shared" si="11"/>
        <v>1000000</v>
      </c>
      <c r="H16" s="15">
        <f t="shared" si="11"/>
        <v>7330000</v>
      </c>
      <c r="I16" s="15">
        <f t="shared" si="5"/>
        <v>11629999999.999998</v>
      </c>
      <c r="J16" s="15">
        <f t="shared" si="11"/>
        <v>1327625.5707762556</v>
      </c>
      <c r="K16" s="15">
        <f>G16*10^7</f>
        <v>10000000000000</v>
      </c>
      <c r="L16" s="15">
        <f>L9*10^6</f>
        <v>41867.999999999993</v>
      </c>
      <c r="M16" s="15">
        <f>K16/10^6</f>
        <v>10000000</v>
      </c>
      <c r="N16" s="14">
        <v>1</v>
      </c>
      <c r="O16" s="15">
        <f t="shared" si="2"/>
        <v>39685308.056872033</v>
      </c>
      <c r="P16" s="15">
        <f>Q16/Q$19*P$19</f>
        <v>11630</v>
      </c>
      <c r="Q16" s="15">
        <f>Q9*10^6</f>
        <v>1.3276255707762556</v>
      </c>
      <c r="R16" s="15">
        <f t="shared" si="8"/>
        <v>41.868000000000002</v>
      </c>
    </row>
    <row r="17" spans="1:18">
      <c r="A17" s="13" t="s">
        <v>442</v>
      </c>
      <c r="B17" s="15">
        <f t="shared" ref="B17:J17" si="12">B4*10^3</f>
        <v>1000</v>
      </c>
      <c r="C17" s="15">
        <f t="shared" si="12"/>
        <v>1055</v>
      </c>
      <c r="D17" s="15">
        <f t="shared" si="12"/>
        <v>3.5997488706001168E-2</v>
      </c>
      <c r="E17" s="15">
        <f t="shared" si="12"/>
        <v>28.316846592000005</v>
      </c>
      <c r="F17" s="15">
        <f t="shared" si="12"/>
        <v>1000000</v>
      </c>
      <c r="G17" s="15">
        <f t="shared" si="12"/>
        <v>2.5198242094200816E-2</v>
      </c>
      <c r="H17" s="15">
        <f t="shared" si="12"/>
        <v>0.18470311455049204</v>
      </c>
      <c r="I17" s="15">
        <f t="shared" si="5"/>
        <v>293.05555555555566</v>
      </c>
      <c r="J17" s="15">
        <f t="shared" si="12"/>
        <v>3.3453830542871647E-2</v>
      </c>
      <c r="K17" s="15">
        <f>G17*10^7</f>
        <v>251982.42094200818</v>
      </c>
      <c r="L17" s="15">
        <f>L4*10^3</f>
        <v>1.0550000000000002E-3</v>
      </c>
      <c r="M17" s="15">
        <f>M4*10^3</f>
        <v>0.25198242094200818</v>
      </c>
      <c r="N17" s="15">
        <f>N4*10^3</f>
        <v>2.519824209420082E-8</v>
      </c>
      <c r="O17" s="14">
        <v>1</v>
      </c>
      <c r="P17" s="15">
        <f>Q17/Q$19*P$19</f>
        <v>2.9305555555555557E-4</v>
      </c>
      <c r="Q17" s="15">
        <f>Q4*10^3</f>
        <v>3.3453830542871643E-8</v>
      </c>
      <c r="R17" s="15">
        <f t="shared" si="8"/>
        <v>1.0550000000000001E-6</v>
      </c>
    </row>
    <row r="18" spans="1:18">
      <c r="A18" s="13" t="s">
        <v>443</v>
      </c>
      <c r="B18" s="15">
        <f>C18/C5*B5</f>
        <v>3412322.2748815166</v>
      </c>
      <c r="C18" s="10">
        <v>3600000</v>
      </c>
      <c r="D18" s="15">
        <f>C18/C9*D9</f>
        <v>122.83503255128362</v>
      </c>
      <c r="E18" s="15">
        <f>1/P7</f>
        <v>96626.206380284391</v>
      </c>
      <c r="F18" s="15">
        <f>C18/C9*F9</f>
        <v>3412322274.881516</v>
      </c>
      <c r="G18" s="15">
        <f>$C18/$C9*G9</f>
        <v>85.984522785898534</v>
      </c>
      <c r="H18" s="15">
        <f>G18/G9*H9</f>
        <v>630.26655202063625</v>
      </c>
      <c r="I18" s="15">
        <f t="shared" si="5"/>
        <v>999999.99999999988</v>
      </c>
      <c r="J18" s="15">
        <f>$C18/$C9*J9</f>
        <v>114.1552511415525</v>
      </c>
      <c r="K18" s="15">
        <f>$C18/$C9*K9</f>
        <v>859845227.85898519</v>
      </c>
      <c r="L18" s="15">
        <f>$C18/$C9*L9</f>
        <v>3.5999999999999996</v>
      </c>
      <c r="M18" s="15">
        <f>$C18/$C9*M9</f>
        <v>859.84522785898514</v>
      </c>
      <c r="N18" s="15">
        <f>G18/10^6</f>
        <v>8.5984522785898537E-5</v>
      </c>
      <c r="O18" s="15">
        <f>F18/10^6</f>
        <v>3412.322274881516</v>
      </c>
      <c r="P18" s="14">
        <v>1</v>
      </c>
      <c r="Q18" s="15">
        <f>1/P19</f>
        <v>1.1415525114155251E-4</v>
      </c>
      <c r="R18" s="15">
        <f t="shared" si="8"/>
        <v>3.6000000000000003E-3</v>
      </c>
    </row>
    <row r="19" spans="1:18">
      <c r="A19" s="13" t="s">
        <v>444</v>
      </c>
      <c r="B19" s="15">
        <f t="shared" ref="B19:J19" si="13">B12*1000000</f>
        <v>29891943127.962082</v>
      </c>
      <c r="C19" s="15">
        <f t="shared" si="13"/>
        <v>31536000000</v>
      </c>
      <c r="D19" s="15">
        <f t="shared" si="13"/>
        <v>1076034.8851492442</v>
      </c>
      <c r="E19" s="15">
        <f t="shared" si="13"/>
        <v>846445567.89129126</v>
      </c>
      <c r="F19" s="15">
        <f t="shared" si="13"/>
        <v>29891943127962.082</v>
      </c>
      <c r="G19" s="15">
        <f t="shared" si="13"/>
        <v>753224.41960447119</v>
      </c>
      <c r="H19" s="15">
        <f t="shared" si="13"/>
        <v>5521134.9957007738</v>
      </c>
      <c r="I19" s="15">
        <f t="shared" si="5"/>
        <v>8760000000</v>
      </c>
      <c r="J19" s="15">
        <f t="shared" si="13"/>
        <v>1000000</v>
      </c>
      <c r="K19" s="15">
        <f>G19*10^7</f>
        <v>7532244196044.7119</v>
      </c>
      <c r="L19" s="15">
        <f>L12*1000000</f>
        <v>31536</v>
      </c>
      <c r="M19" s="15">
        <f>K19/10^6</f>
        <v>7532244.1960447123</v>
      </c>
      <c r="N19" s="15">
        <f>G19/10^6</f>
        <v>0.75322441960447117</v>
      </c>
      <c r="O19" s="15">
        <f>F19/10^6</f>
        <v>29891943.127962083</v>
      </c>
      <c r="P19" s="10">
        <v>8760</v>
      </c>
      <c r="Q19" s="14">
        <v>1</v>
      </c>
      <c r="R19" s="15">
        <f>P19/P18*R18</f>
        <v>31.536000000000001</v>
      </c>
    </row>
    <row r="20" spans="1:18">
      <c r="A20" s="13" t="s">
        <v>445</v>
      </c>
      <c r="B20" s="15">
        <f t="shared" ref="B20:J20" si="14">B5*10^9</f>
        <v>947867298.57819903</v>
      </c>
      <c r="C20" s="15">
        <f t="shared" si="14"/>
        <v>1000000000</v>
      </c>
      <c r="D20" s="15">
        <f t="shared" si="14"/>
        <v>34120.842375356551</v>
      </c>
      <c r="E20" s="15">
        <f t="shared" si="14"/>
        <v>26840612.883412328</v>
      </c>
      <c r="F20" s="15">
        <f t="shared" si="14"/>
        <v>947867298578.1991</v>
      </c>
      <c r="G20" s="15">
        <f t="shared" si="14"/>
        <v>23884.589662749593</v>
      </c>
      <c r="H20" s="15">
        <f t="shared" si="14"/>
        <v>175074.04222795452</v>
      </c>
      <c r="I20" s="15">
        <f t="shared" si="5"/>
        <v>277777777.77777779</v>
      </c>
      <c r="J20" s="15">
        <f t="shared" si="14"/>
        <v>31709.791983764586</v>
      </c>
      <c r="K20" s="15">
        <f>G20*10^7</f>
        <v>238845896627.49594</v>
      </c>
      <c r="L20" s="15">
        <f>L5*10^9</f>
        <v>1000</v>
      </c>
      <c r="M20" s="15">
        <f>K20/10^6</f>
        <v>238845.89662749594</v>
      </c>
      <c r="N20" s="15">
        <f>G20/10^6</f>
        <v>2.3884589662749593E-2</v>
      </c>
      <c r="O20" s="15">
        <f>F20/10^6</f>
        <v>947867.29857819912</v>
      </c>
      <c r="P20" s="15">
        <f>P19/R19*R20</f>
        <v>277.77777777777777</v>
      </c>
      <c r="Q20" s="15">
        <f>P20/P19*Q19</f>
        <v>3.1709791983764585E-2</v>
      </c>
      <c r="R20" s="14">
        <v>1</v>
      </c>
    </row>
    <row r="21" spans="1:18">
      <c r="A21" s="16"/>
      <c r="B21" s="16"/>
      <c r="C21" s="16"/>
      <c r="D21" s="16"/>
      <c r="E21" s="16"/>
      <c r="F21" s="16"/>
      <c r="G21" s="16"/>
      <c r="H21" s="16"/>
      <c r="I21" s="16"/>
      <c r="J21" s="16"/>
      <c r="K21" s="16"/>
      <c r="L21" s="16"/>
      <c r="M21" s="16"/>
      <c r="N21" s="16"/>
      <c r="O21" s="16"/>
      <c r="P21" s="16"/>
      <c r="Q21" s="16"/>
      <c r="R21" s="16"/>
    </row>
    <row r="22" spans="1:18">
      <c r="A22" s="16"/>
      <c r="B22" s="17" t="s">
        <v>447</v>
      </c>
      <c r="C22" s="17"/>
      <c r="D22" s="17"/>
      <c r="E22" s="17" t="s">
        <v>448</v>
      </c>
      <c r="F22" s="17"/>
      <c r="G22" s="17"/>
      <c r="H22" s="17"/>
      <c r="I22" s="17"/>
      <c r="J22" s="17"/>
      <c r="K22" s="17"/>
      <c r="L22" s="17"/>
      <c r="M22" s="17"/>
      <c r="N22" s="16"/>
      <c r="O22" s="16"/>
      <c r="P22" s="16"/>
      <c r="Q22" s="16"/>
      <c r="R22" s="16"/>
    </row>
    <row r="23" spans="1:18">
      <c r="A23" s="16"/>
      <c r="B23"/>
      <c r="C23"/>
      <c r="D23"/>
      <c r="E23"/>
      <c r="F23" s="17"/>
      <c r="G23" s="17"/>
      <c r="H23" s="17"/>
      <c r="I23" s="17"/>
      <c r="J23" s="17"/>
      <c r="K23" s="18" t="s">
        <v>449</v>
      </c>
      <c r="L23" s="18" t="s">
        <v>450</v>
      </c>
      <c r="M23" s="17"/>
      <c r="N23" s="16"/>
      <c r="O23" s="16"/>
      <c r="P23" s="16"/>
      <c r="Q23" s="16"/>
      <c r="R23" s="16"/>
    </row>
    <row r="24" spans="1:18">
      <c r="A24" s="16"/>
      <c r="B24" s="17"/>
      <c r="C24"/>
      <c r="D24" s="19" t="s">
        <v>451</v>
      </c>
      <c r="E24" s="20"/>
      <c r="F24" s="19" t="s">
        <v>452</v>
      </c>
      <c r="G24" s="19"/>
      <c r="H24" s="18" t="s">
        <v>449</v>
      </c>
      <c r="I24" s="18"/>
      <c r="J24" s="18" t="s">
        <v>450</v>
      </c>
      <c r="K24" s="18" t="s">
        <v>453</v>
      </c>
      <c r="L24" s="18" t="s">
        <v>453</v>
      </c>
      <c r="M24" s="17"/>
      <c r="N24" s="16"/>
      <c r="O24" s="16"/>
      <c r="P24" s="16"/>
      <c r="Q24" s="16"/>
      <c r="R24" s="16"/>
    </row>
    <row r="25" spans="1:18">
      <c r="A25" s="16"/>
      <c r="B25" s="17" t="s">
        <v>454</v>
      </c>
      <c r="C25" s="17"/>
      <c r="D25" s="21">
        <v>26.8</v>
      </c>
      <c r="E25" s="21">
        <v>28.4</v>
      </c>
      <c r="F25" s="4">
        <v>28.1</v>
      </c>
      <c r="G25" s="21">
        <v>29.9</v>
      </c>
      <c r="H25" s="21">
        <f t="shared" ref="H25:H30" si="15">(D25+E25)/2</f>
        <v>27.6</v>
      </c>
      <c r="I25" s="21"/>
      <c r="J25" s="21">
        <f t="shared" ref="J25:J30" si="16">(F25+G25)/2</f>
        <v>29</v>
      </c>
      <c r="K25" s="22">
        <f t="shared" ref="K25:K30" si="17">H25/10^3*$C$9/10^3</f>
        <v>1.1555568000000001</v>
      </c>
      <c r="L25" s="22">
        <f t="shared" ref="L25:L30" si="18">J25/10^3*$C$9/10^3</f>
        <v>1.214172</v>
      </c>
      <c r="M25" s="23">
        <f t="shared" ref="M25:M30" si="19">L25/$L$27</f>
        <v>1.1394891944990173</v>
      </c>
      <c r="N25" s="16"/>
      <c r="O25" s="16"/>
      <c r="P25" s="16"/>
      <c r="Q25" s="16"/>
      <c r="R25" s="16"/>
    </row>
    <row r="26" spans="1:18">
      <c r="A26" s="16"/>
      <c r="B26" s="17" t="s">
        <v>455</v>
      </c>
      <c r="C26" s="17"/>
      <c r="D26" s="21">
        <v>30.3</v>
      </c>
      <c r="E26" s="21">
        <v>30.3</v>
      </c>
      <c r="F26" s="21">
        <v>28.9</v>
      </c>
      <c r="G26" s="21">
        <v>28.9</v>
      </c>
      <c r="H26" s="21">
        <f t="shared" si="15"/>
        <v>30.3</v>
      </c>
      <c r="I26" s="21"/>
      <c r="J26" s="21">
        <f t="shared" si="16"/>
        <v>28.9</v>
      </c>
      <c r="K26" s="22">
        <f t="shared" si="17"/>
        <v>1.2686004</v>
      </c>
      <c r="L26" s="22">
        <f t="shared" si="18"/>
        <v>1.2099851999999998</v>
      </c>
      <c r="M26" s="23">
        <f t="shared" si="19"/>
        <v>1.1355599214145378</v>
      </c>
      <c r="N26" s="16"/>
      <c r="O26" s="16"/>
      <c r="P26" s="16"/>
      <c r="Q26" s="16"/>
      <c r="R26" s="16"/>
    </row>
    <row r="27" spans="1:18">
      <c r="A27" s="16"/>
      <c r="B27" s="17" t="s">
        <v>456</v>
      </c>
      <c r="C27" s="17"/>
      <c r="D27" s="21">
        <v>23.9</v>
      </c>
      <c r="E27" s="21">
        <v>24.5</v>
      </c>
      <c r="F27" s="21">
        <v>25.1</v>
      </c>
      <c r="G27" s="21">
        <v>25.8</v>
      </c>
      <c r="H27" s="21">
        <f t="shared" si="15"/>
        <v>24.2</v>
      </c>
      <c r="I27" s="21"/>
      <c r="J27" s="21">
        <f t="shared" si="16"/>
        <v>25.450000000000003</v>
      </c>
      <c r="K27" s="22">
        <f t="shared" si="17"/>
        <v>1.0132056</v>
      </c>
      <c r="L27" s="22">
        <f t="shared" si="18"/>
        <v>1.0655406000000003</v>
      </c>
      <c r="M27" s="23">
        <f t="shared" si="19"/>
        <v>1</v>
      </c>
      <c r="N27" s="16"/>
      <c r="O27" s="16"/>
      <c r="P27" s="16"/>
      <c r="Q27" s="16">
        <f>3*0.9*365</f>
        <v>985.50000000000011</v>
      </c>
      <c r="R27" s="16" t="s">
        <v>605</v>
      </c>
    </row>
    <row r="28" spans="1:18">
      <c r="A28" s="16"/>
      <c r="B28" t="s">
        <v>457</v>
      </c>
      <c r="C28"/>
      <c r="D28" s="4">
        <f>D27*1.18</f>
        <v>28.201999999999998</v>
      </c>
      <c r="E28" s="4">
        <f>E27*1.18</f>
        <v>28.91</v>
      </c>
      <c r="F28" s="4">
        <f>F27*1.18</f>
        <v>29.617999999999999</v>
      </c>
      <c r="G28" s="4">
        <f>G27*1.18</f>
        <v>30.443999999999999</v>
      </c>
      <c r="H28" s="21">
        <f t="shared" si="15"/>
        <v>28.555999999999997</v>
      </c>
      <c r="I28" s="21"/>
      <c r="J28" s="21">
        <f t="shared" si="16"/>
        <v>30.030999999999999</v>
      </c>
      <c r="K28" s="22">
        <f t="shared" si="17"/>
        <v>1.195582608</v>
      </c>
      <c r="L28" s="22">
        <f t="shared" si="18"/>
        <v>1.257337908</v>
      </c>
      <c r="M28" s="23">
        <f t="shared" si="19"/>
        <v>1.1799999999999997</v>
      </c>
      <c r="N28" s="16"/>
      <c r="O28" s="16"/>
      <c r="P28" s="16"/>
      <c r="Q28" s="16"/>
      <c r="R28" s="16"/>
    </row>
    <row r="29" spans="1:18">
      <c r="A29" s="16"/>
      <c r="B29" s="17" t="s">
        <v>458</v>
      </c>
      <c r="C29" s="17"/>
      <c r="D29" s="21">
        <v>19</v>
      </c>
      <c r="E29" s="21">
        <v>20.3</v>
      </c>
      <c r="F29" s="21">
        <v>20</v>
      </c>
      <c r="G29" s="21">
        <v>21.4</v>
      </c>
      <c r="H29" s="21">
        <f t="shared" si="15"/>
        <v>19.649999999999999</v>
      </c>
      <c r="I29" s="21"/>
      <c r="J29" s="21">
        <f t="shared" si="16"/>
        <v>20.7</v>
      </c>
      <c r="K29" s="22">
        <f t="shared" si="17"/>
        <v>0.82270619999999983</v>
      </c>
      <c r="L29" s="22">
        <f t="shared" si="18"/>
        <v>0.86666759999999998</v>
      </c>
      <c r="M29" s="23">
        <f t="shared" si="19"/>
        <v>0.81335952848722959</v>
      </c>
      <c r="N29" s="16"/>
      <c r="O29" s="16"/>
      <c r="P29" s="16"/>
      <c r="Q29" s="16"/>
      <c r="R29" s="16"/>
    </row>
    <row r="30" spans="1:18">
      <c r="A30" s="16"/>
      <c r="B30" s="17" t="s">
        <v>134</v>
      </c>
      <c r="C30" s="17"/>
      <c r="D30" s="21">
        <v>13.6</v>
      </c>
      <c r="E30" s="21">
        <v>14</v>
      </c>
      <c r="F30" s="21">
        <v>15</v>
      </c>
      <c r="G30" s="21">
        <v>15.4</v>
      </c>
      <c r="H30" s="21">
        <f t="shared" si="15"/>
        <v>13.8</v>
      </c>
      <c r="I30" s="21"/>
      <c r="J30" s="21">
        <f t="shared" si="16"/>
        <v>15.2</v>
      </c>
      <c r="K30" s="22">
        <f t="shared" si="17"/>
        <v>0.57777840000000003</v>
      </c>
      <c r="L30" s="22">
        <f t="shared" si="18"/>
        <v>0.6363936</v>
      </c>
      <c r="M30" s="23">
        <f t="shared" si="19"/>
        <v>0.59724950884086425</v>
      </c>
      <c r="N30" s="16"/>
      <c r="O30" s="16"/>
      <c r="P30" s="16"/>
      <c r="Q30" s="16"/>
      <c r="R30" s="16"/>
    </row>
    <row r="31" spans="1:18">
      <c r="O31" s="16"/>
    </row>
    <row r="32" spans="1:18">
      <c r="I32" s="24"/>
    </row>
    <row r="33" spans="2:12">
      <c r="B33" t="s">
        <v>323</v>
      </c>
      <c r="C33" s="936" t="s">
        <v>459</v>
      </c>
      <c r="D33" s="936"/>
      <c r="E33" s="936"/>
      <c r="F33" s="936"/>
      <c r="G33" s="937" t="s">
        <v>460</v>
      </c>
      <c r="H33" s="937"/>
      <c r="J33" s="25" t="s">
        <v>461</v>
      </c>
      <c r="K33" s="25" t="s">
        <v>462</v>
      </c>
      <c r="L33" s="2" t="s">
        <v>436</v>
      </c>
    </row>
    <row r="34" spans="2:12">
      <c r="B34"/>
      <c r="C34"/>
      <c r="D34"/>
      <c r="J34" s="26"/>
      <c r="K34" s="26"/>
    </row>
    <row r="35" spans="2:12">
      <c r="B35" t="s">
        <v>465</v>
      </c>
      <c r="C35">
        <f t="shared" ref="C35:C44" si="20">E35*G35</f>
        <v>8610</v>
      </c>
      <c r="D35" t="s">
        <v>466</v>
      </c>
      <c r="E35" s="9">
        <v>10250</v>
      </c>
      <c r="F35" s="9" t="s">
        <v>467</v>
      </c>
      <c r="G35" s="9">
        <v>0.84</v>
      </c>
      <c r="H35" s="9" t="s">
        <v>468</v>
      </c>
      <c r="J35" s="27">
        <f>E35*$C$13</f>
        <v>42.914700000000003</v>
      </c>
      <c r="K35" s="26">
        <f>J35/41.868</f>
        <v>1.0250000000000001</v>
      </c>
      <c r="L35" s="28">
        <f>J35*$I$5</f>
        <v>11.920750000000002</v>
      </c>
    </row>
    <row r="36" spans="2:12">
      <c r="B36" t="s">
        <v>470</v>
      </c>
      <c r="C36">
        <f t="shared" si="20"/>
        <v>8056</v>
      </c>
      <c r="D36" t="s">
        <v>466</v>
      </c>
      <c r="E36" s="9">
        <v>10600</v>
      </c>
      <c r="F36" s="9" t="s">
        <v>467</v>
      </c>
      <c r="G36" s="9">
        <v>0.76</v>
      </c>
      <c r="H36" s="9" t="s">
        <v>468</v>
      </c>
      <c r="I36" s="27"/>
      <c r="J36" s="27">
        <f t="shared" ref="J36:J43" si="21">E36*$C$13</f>
        <v>44.38008</v>
      </c>
      <c r="K36" s="26">
        <f t="shared" ref="K36:K51" si="22">J36/41.868</f>
        <v>1.0599999999999998</v>
      </c>
      <c r="L36" s="28">
        <f t="shared" ref="L36:L51" si="23">J36*$I$5</f>
        <v>12.3278</v>
      </c>
    </row>
    <row r="37" spans="2:12">
      <c r="B37" s="9" t="s">
        <v>472</v>
      </c>
      <c r="C37">
        <f t="shared" si="20"/>
        <v>7526</v>
      </c>
      <c r="D37" t="s">
        <v>466</v>
      </c>
      <c r="E37" s="9">
        <v>10600</v>
      </c>
      <c r="F37" s="9" t="s">
        <v>467</v>
      </c>
      <c r="G37" s="9">
        <v>0.71</v>
      </c>
      <c r="H37" s="9" t="s">
        <v>468</v>
      </c>
      <c r="I37" s="27"/>
      <c r="J37" s="27">
        <f t="shared" si="21"/>
        <v>44.38008</v>
      </c>
      <c r="K37" s="26">
        <f t="shared" si="22"/>
        <v>1.0599999999999998</v>
      </c>
      <c r="L37" s="28">
        <f t="shared" si="23"/>
        <v>12.3278</v>
      </c>
    </row>
    <row r="38" spans="2:12">
      <c r="B38" s="2" t="s">
        <v>474</v>
      </c>
      <c r="C38">
        <f>C35*0.82/0.84</f>
        <v>8405</v>
      </c>
      <c r="D38" t="s">
        <v>466</v>
      </c>
      <c r="E38" s="9">
        <f>C38/G38</f>
        <v>10250</v>
      </c>
      <c r="F38" s="9" t="s">
        <v>467</v>
      </c>
      <c r="G38" s="9">
        <v>0.82</v>
      </c>
      <c r="H38" s="9" t="s">
        <v>468</v>
      </c>
      <c r="I38" s="27"/>
      <c r="J38" s="27">
        <v>43</v>
      </c>
      <c r="K38" s="26">
        <f t="shared" si="22"/>
        <v>1.0270373554982324</v>
      </c>
      <c r="L38" s="28">
        <f t="shared" si="23"/>
        <v>11.944444444444445</v>
      </c>
    </row>
    <row r="39" spans="2:12">
      <c r="B39" t="s">
        <v>135</v>
      </c>
      <c r="C39">
        <f t="shared" si="20"/>
        <v>5995.0000000000009</v>
      </c>
      <c r="D39" t="s">
        <v>466</v>
      </c>
      <c r="E39">
        <v>10900</v>
      </c>
      <c r="F39" t="s">
        <v>467</v>
      </c>
      <c r="G39">
        <v>0.55000000000000004</v>
      </c>
      <c r="H39" t="s">
        <v>468</v>
      </c>
      <c r="I39" s="27"/>
      <c r="J39" s="27">
        <f t="shared" si="21"/>
        <v>45.636119999999998</v>
      </c>
      <c r="K39" s="26">
        <f t="shared" si="22"/>
        <v>1.0899999999999999</v>
      </c>
      <c r="L39" s="28">
        <f t="shared" si="23"/>
        <v>12.6767</v>
      </c>
    </row>
    <row r="40" spans="2:12">
      <c r="B40" s="9" t="s">
        <v>142</v>
      </c>
      <c r="C40" s="29">
        <f t="shared" si="20"/>
        <v>4531.8</v>
      </c>
      <c r="D40" t="s">
        <v>466</v>
      </c>
      <c r="E40" s="9">
        <v>10790</v>
      </c>
      <c r="F40" s="9" t="s">
        <v>467</v>
      </c>
      <c r="G40" s="9">
        <v>0.42</v>
      </c>
      <c r="H40" s="9" t="s">
        <v>468</v>
      </c>
      <c r="I40" s="27"/>
      <c r="J40" s="27">
        <f t="shared" si="21"/>
        <v>45.175572000000003</v>
      </c>
      <c r="K40" s="26">
        <f t="shared" si="22"/>
        <v>1.079</v>
      </c>
      <c r="L40" s="28">
        <f t="shared" si="23"/>
        <v>12.548770000000001</v>
      </c>
    </row>
    <row r="41" spans="2:12">
      <c r="B41" s="2" t="s">
        <v>476</v>
      </c>
      <c r="C41" s="29"/>
      <c r="D41"/>
      <c r="I41" s="27"/>
      <c r="J41" s="27">
        <v>47.14</v>
      </c>
      <c r="K41" s="26"/>
      <c r="L41" s="28">
        <f t="shared" si="23"/>
        <v>13.094444444444445</v>
      </c>
    </row>
    <row r="42" spans="2:12">
      <c r="B42" t="s">
        <v>480</v>
      </c>
      <c r="C42">
        <f t="shared" si="20"/>
        <v>5280</v>
      </c>
      <c r="D42" t="s">
        <v>466</v>
      </c>
      <c r="E42">
        <v>6600</v>
      </c>
      <c r="F42" t="s">
        <v>467</v>
      </c>
      <c r="G42">
        <v>0.8</v>
      </c>
      <c r="H42" t="s">
        <v>468</v>
      </c>
      <c r="I42" s="27"/>
      <c r="J42" s="27">
        <f t="shared" si="21"/>
        <v>27.63288</v>
      </c>
      <c r="K42" s="26">
        <f t="shared" si="22"/>
        <v>0.65999999999999992</v>
      </c>
      <c r="L42" s="28">
        <f t="shared" si="23"/>
        <v>7.6758000000000006</v>
      </c>
    </row>
    <row r="43" spans="2:12">
      <c r="B43" t="s">
        <v>481</v>
      </c>
      <c r="C43">
        <f t="shared" si="20"/>
        <v>8815</v>
      </c>
      <c r="D43" t="s">
        <v>466</v>
      </c>
      <c r="E43" s="9">
        <v>10250</v>
      </c>
      <c r="F43" s="9" t="s">
        <v>467</v>
      </c>
      <c r="G43" s="9">
        <v>0.86</v>
      </c>
      <c r="H43" s="9" t="s">
        <v>468</v>
      </c>
      <c r="I43" s="27"/>
      <c r="J43" s="27">
        <f t="shared" si="21"/>
        <v>42.914700000000003</v>
      </c>
      <c r="K43" s="26">
        <f t="shared" si="22"/>
        <v>1.0250000000000001</v>
      </c>
      <c r="L43" s="28">
        <f t="shared" si="23"/>
        <v>11.920750000000002</v>
      </c>
    </row>
    <row r="44" spans="2:12">
      <c r="B44" t="s">
        <v>482</v>
      </c>
      <c r="C44">
        <f t="shared" si="20"/>
        <v>9312</v>
      </c>
      <c r="D44" t="s">
        <v>466</v>
      </c>
      <c r="E44" s="9">
        <v>9700</v>
      </c>
      <c r="F44" s="9" t="s">
        <v>467</v>
      </c>
      <c r="G44" s="9">
        <v>0.96</v>
      </c>
      <c r="H44" s="9" t="s">
        <v>468</v>
      </c>
      <c r="I44" s="27"/>
      <c r="J44" s="27">
        <f>E44*$C$13</f>
        <v>40.611960000000003</v>
      </c>
      <c r="K44" s="26">
        <f t="shared" si="22"/>
        <v>0.97000000000000008</v>
      </c>
      <c r="L44" s="28">
        <f t="shared" si="23"/>
        <v>11.281100000000002</v>
      </c>
    </row>
    <row r="45" spans="2:12">
      <c r="B45" s="2" t="s">
        <v>483</v>
      </c>
      <c r="J45" s="30">
        <v>15</v>
      </c>
      <c r="L45" s="28">
        <f t="shared" si="23"/>
        <v>4.166666666666667</v>
      </c>
    </row>
    <row r="46" spans="2:12">
      <c r="B46" s="2" t="s">
        <v>137</v>
      </c>
      <c r="J46" s="30">
        <v>29.3</v>
      </c>
      <c r="K46" s="31">
        <f t="shared" si="22"/>
        <v>0.69981847711856304</v>
      </c>
      <c r="L46" s="28">
        <f t="shared" si="23"/>
        <v>8.1388888888888893</v>
      </c>
    </row>
    <row r="47" spans="2:12">
      <c r="B47" s="2" t="s">
        <v>454</v>
      </c>
      <c r="E47" s="9">
        <v>4500</v>
      </c>
      <c r="J47" s="27">
        <f>E47*$C$13</f>
        <v>18.840600000000002</v>
      </c>
      <c r="K47" s="31">
        <f t="shared" si="22"/>
        <v>0.45</v>
      </c>
      <c r="L47" s="28">
        <f t="shared" si="23"/>
        <v>5.2335000000000012</v>
      </c>
    </row>
    <row r="48" spans="2:12">
      <c r="B48" s="2" t="s">
        <v>484</v>
      </c>
      <c r="E48" s="9">
        <v>7500</v>
      </c>
      <c r="J48" s="27">
        <f>E48*$C$13</f>
        <v>31.401</v>
      </c>
      <c r="K48" s="31">
        <f t="shared" si="22"/>
        <v>0.75</v>
      </c>
      <c r="L48" s="28">
        <f t="shared" si="23"/>
        <v>8.7225000000000001</v>
      </c>
    </row>
    <row r="49" spans="2:12">
      <c r="B49" s="2" t="s">
        <v>485</v>
      </c>
      <c r="J49" s="30">
        <v>34</v>
      </c>
      <c r="K49" s="31">
        <f t="shared" si="22"/>
        <v>0.81207604853348614</v>
      </c>
      <c r="L49" s="28">
        <f t="shared" si="23"/>
        <v>9.4444444444444446</v>
      </c>
    </row>
    <row r="50" spans="2:12">
      <c r="B50" s="2" t="s">
        <v>486</v>
      </c>
      <c r="J50" s="30">
        <v>29.7</v>
      </c>
      <c r="K50" s="31">
        <f t="shared" si="22"/>
        <v>0.70937231298366288</v>
      </c>
      <c r="L50" s="28">
        <f t="shared" si="23"/>
        <v>8.25</v>
      </c>
    </row>
    <row r="51" spans="2:12">
      <c r="B51" s="2" t="s">
        <v>487</v>
      </c>
      <c r="J51" s="30">
        <v>37</v>
      </c>
      <c r="K51" s="9">
        <f t="shared" si="22"/>
        <v>0.88372981752173496</v>
      </c>
      <c r="L51" s="28">
        <f t="shared" si="23"/>
        <v>10.277777777777779</v>
      </c>
    </row>
    <row r="52" spans="2:12">
      <c r="J52" s="30"/>
    </row>
    <row r="53" spans="2:12">
      <c r="B53" s="2" t="s">
        <v>488</v>
      </c>
      <c r="J53" s="30">
        <v>500000</v>
      </c>
      <c r="K53" s="31">
        <f>J53/41.868</f>
        <v>11942.294831374797</v>
      </c>
    </row>
    <row r="54" spans="2:12">
      <c r="B54" s="32" t="s">
        <v>489</v>
      </c>
      <c r="J54" s="30">
        <v>3900000</v>
      </c>
      <c r="K54" s="31">
        <f>J54/41.868</f>
        <v>93149.899684723408</v>
      </c>
    </row>
    <row r="55" spans="2:12">
      <c r="B55" s="33">
        <v>3.5000000000000003E-2</v>
      </c>
    </row>
    <row r="58" spans="2:12">
      <c r="C58" s="2"/>
      <c r="D58" s="2"/>
      <c r="E58" s="2"/>
      <c r="F58" s="2"/>
    </row>
    <row r="59" spans="2:12">
      <c r="F59" s="2"/>
    </row>
    <row r="60" spans="2:12">
      <c r="C60" s="2"/>
      <c r="F60" s="2"/>
    </row>
    <row r="61" spans="2:12">
      <c r="C61" s="33"/>
      <c r="F61" s="2"/>
    </row>
  </sheetData>
  <mergeCells count="2">
    <mergeCell ref="C33:F33"/>
    <mergeCell ref="G33:H3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V115"/>
  <sheetViews>
    <sheetView topLeftCell="I1" zoomScaleNormal="100" zoomScaleSheetLayoutView="100" workbookViewId="0">
      <selection activeCell="I15" sqref="A15:XFD15"/>
    </sheetView>
  </sheetViews>
  <sheetFormatPr defaultColWidth="3.42578125" defaultRowHeight="13.15"/>
  <cols>
    <col min="1" max="1" width="18.42578125" style="34" customWidth="1"/>
    <col min="2" max="2" width="9.42578125" style="34" customWidth="1"/>
    <col min="3" max="3" width="11.42578125" style="34" customWidth="1"/>
    <col min="4" max="11" width="9.42578125" style="34" customWidth="1"/>
    <col min="12" max="13" width="3.42578125" style="34"/>
    <col min="14" max="14" width="6.42578125" style="34" customWidth="1"/>
    <col min="15" max="15" width="45" style="34" customWidth="1"/>
    <col min="16" max="16" width="31.85546875" style="34" customWidth="1"/>
    <col min="17" max="17" width="9.5703125" style="34" customWidth="1"/>
    <col min="18" max="18" width="17.5703125" style="34" customWidth="1"/>
    <col min="19" max="19" width="20.7109375" style="34" customWidth="1"/>
    <col min="20" max="20" width="23.28515625" style="34" customWidth="1"/>
    <col min="21" max="21" width="12.5703125" style="34" customWidth="1"/>
    <col min="22" max="22" width="16.140625" style="34" customWidth="1"/>
    <col min="23" max="23" width="21.85546875" style="34" customWidth="1"/>
    <col min="24" max="24" width="15.28515625" style="34" customWidth="1"/>
    <col min="25" max="25" width="17.85546875" style="34" customWidth="1"/>
    <col min="26" max="26" width="17.42578125" style="34" customWidth="1"/>
    <col min="27" max="27" width="12.85546875" style="34" customWidth="1"/>
    <col min="28" max="28" width="23.42578125" style="34" customWidth="1"/>
    <col min="29" max="48" width="14" style="34" customWidth="1"/>
    <col min="49" max="256" width="3.42578125" style="34"/>
    <col min="257" max="257" width="18.42578125" style="34" customWidth="1"/>
    <col min="258" max="258" width="9.42578125" style="34" customWidth="1"/>
    <col min="259" max="259" width="11.42578125" style="34" customWidth="1"/>
    <col min="260" max="267" width="9.42578125" style="34" customWidth="1"/>
    <col min="268" max="269" width="3.42578125" style="34"/>
    <col min="270" max="270" width="6.42578125" style="34" customWidth="1"/>
    <col min="271" max="271" width="45" style="34" customWidth="1"/>
    <col min="272" max="272" width="31.85546875" style="34" customWidth="1"/>
    <col min="273" max="273" width="9.5703125" style="34" customWidth="1"/>
    <col min="274" max="274" width="17.5703125" style="34" customWidth="1"/>
    <col min="275" max="275" width="20.7109375" style="34" customWidth="1"/>
    <col min="276" max="276" width="23.28515625" style="34" customWidth="1"/>
    <col min="277" max="277" width="12.5703125" style="34" customWidth="1"/>
    <col min="278" max="278" width="16.140625" style="34" customWidth="1"/>
    <col min="279" max="279" width="21.85546875" style="34" customWidth="1"/>
    <col min="280" max="280" width="15.28515625" style="34" customWidth="1"/>
    <col min="281" max="281" width="17.85546875" style="34" customWidth="1"/>
    <col min="282" max="282" width="17.42578125" style="34" customWidth="1"/>
    <col min="283" max="283" width="12.85546875" style="34" customWidth="1"/>
    <col min="284" max="284" width="23.42578125" style="34" customWidth="1"/>
    <col min="285" max="512" width="3.42578125" style="34"/>
    <col min="513" max="513" width="18.42578125" style="34" customWidth="1"/>
    <col min="514" max="514" width="9.42578125" style="34" customWidth="1"/>
    <col min="515" max="515" width="11.42578125" style="34" customWidth="1"/>
    <col min="516" max="523" width="9.42578125" style="34" customWidth="1"/>
    <col min="524" max="525" width="3.42578125" style="34"/>
    <col min="526" max="526" width="6.42578125" style="34" customWidth="1"/>
    <col min="527" max="527" width="45" style="34" customWidth="1"/>
    <col min="528" max="528" width="31.85546875" style="34" customWidth="1"/>
    <col min="529" max="529" width="9.5703125" style="34" customWidth="1"/>
    <col min="530" max="530" width="17.5703125" style="34" customWidth="1"/>
    <col min="531" max="531" width="20.7109375" style="34" customWidth="1"/>
    <col min="532" max="532" width="23.28515625" style="34" customWidth="1"/>
    <col min="533" max="533" width="12.5703125" style="34" customWidth="1"/>
    <col min="534" max="534" width="16.140625" style="34" customWidth="1"/>
    <col min="535" max="535" width="21.85546875" style="34" customWidth="1"/>
    <col min="536" max="536" width="15.28515625" style="34" customWidth="1"/>
    <col min="537" max="537" width="17.85546875" style="34" customWidth="1"/>
    <col min="538" max="538" width="17.42578125" style="34" customWidth="1"/>
    <col min="539" max="539" width="12.85546875" style="34" customWidth="1"/>
    <col min="540" max="540" width="23.42578125" style="34" customWidth="1"/>
    <col min="541" max="768" width="3.42578125" style="34"/>
    <col min="769" max="769" width="18.42578125" style="34" customWidth="1"/>
    <col min="770" max="770" width="9.42578125" style="34" customWidth="1"/>
    <col min="771" max="771" width="11.42578125" style="34" customWidth="1"/>
    <col min="772" max="779" width="9.42578125" style="34" customWidth="1"/>
    <col min="780" max="781" width="3.42578125" style="34"/>
    <col min="782" max="782" width="6.42578125" style="34" customWidth="1"/>
    <col min="783" max="783" width="45" style="34" customWidth="1"/>
    <col min="784" max="784" width="31.85546875" style="34" customWidth="1"/>
    <col min="785" max="785" width="9.5703125" style="34" customWidth="1"/>
    <col min="786" max="786" width="17.5703125" style="34" customWidth="1"/>
    <col min="787" max="787" width="20.7109375" style="34" customWidth="1"/>
    <col min="788" max="788" width="23.28515625" style="34" customWidth="1"/>
    <col min="789" max="789" width="12.5703125" style="34" customWidth="1"/>
    <col min="790" max="790" width="16.140625" style="34" customWidth="1"/>
    <col min="791" max="791" width="21.85546875" style="34" customWidth="1"/>
    <col min="792" max="792" width="15.28515625" style="34" customWidth="1"/>
    <col min="793" max="793" width="17.85546875" style="34" customWidth="1"/>
    <col min="794" max="794" width="17.42578125" style="34" customWidth="1"/>
    <col min="795" max="795" width="12.85546875" style="34" customWidth="1"/>
    <col min="796" max="796" width="23.42578125" style="34" customWidth="1"/>
    <col min="797" max="1024" width="3.42578125" style="34"/>
    <col min="1025" max="1025" width="18.42578125" style="34" customWidth="1"/>
    <col min="1026" max="1026" width="9.42578125" style="34" customWidth="1"/>
    <col min="1027" max="1027" width="11.42578125" style="34" customWidth="1"/>
    <col min="1028" max="1035" width="9.42578125" style="34" customWidth="1"/>
    <col min="1036" max="1037" width="3.42578125" style="34"/>
    <col min="1038" max="1038" width="6.42578125" style="34" customWidth="1"/>
    <col min="1039" max="1039" width="45" style="34" customWidth="1"/>
    <col min="1040" max="1040" width="31.85546875" style="34" customWidth="1"/>
    <col min="1041" max="1041" width="9.5703125" style="34" customWidth="1"/>
    <col min="1042" max="1042" width="17.5703125" style="34" customWidth="1"/>
    <col min="1043" max="1043" width="20.7109375" style="34" customWidth="1"/>
    <col min="1044" max="1044" width="23.28515625" style="34" customWidth="1"/>
    <col min="1045" max="1045" width="12.5703125" style="34" customWidth="1"/>
    <col min="1046" max="1046" width="16.140625" style="34" customWidth="1"/>
    <col min="1047" max="1047" width="21.85546875" style="34" customWidth="1"/>
    <col min="1048" max="1048" width="15.28515625" style="34" customWidth="1"/>
    <col min="1049" max="1049" width="17.85546875" style="34" customWidth="1"/>
    <col min="1050" max="1050" width="17.42578125" style="34" customWidth="1"/>
    <col min="1051" max="1051" width="12.85546875" style="34" customWidth="1"/>
    <col min="1052" max="1052" width="23.42578125" style="34" customWidth="1"/>
    <col min="1053" max="1280" width="3.42578125" style="34"/>
    <col min="1281" max="1281" width="18.42578125" style="34" customWidth="1"/>
    <col min="1282" max="1282" width="9.42578125" style="34" customWidth="1"/>
    <col min="1283" max="1283" width="11.42578125" style="34" customWidth="1"/>
    <col min="1284" max="1291" width="9.42578125" style="34" customWidth="1"/>
    <col min="1292" max="1293" width="3.42578125" style="34"/>
    <col min="1294" max="1294" width="6.42578125" style="34" customWidth="1"/>
    <col min="1295" max="1295" width="45" style="34" customWidth="1"/>
    <col min="1296" max="1296" width="31.85546875" style="34" customWidth="1"/>
    <col min="1297" max="1297" width="9.5703125" style="34" customWidth="1"/>
    <col min="1298" max="1298" width="17.5703125" style="34" customWidth="1"/>
    <col min="1299" max="1299" width="20.7109375" style="34" customWidth="1"/>
    <col min="1300" max="1300" width="23.28515625" style="34" customWidth="1"/>
    <col min="1301" max="1301" width="12.5703125" style="34" customWidth="1"/>
    <col min="1302" max="1302" width="16.140625" style="34" customWidth="1"/>
    <col min="1303" max="1303" width="21.85546875" style="34" customWidth="1"/>
    <col min="1304" max="1304" width="15.28515625" style="34" customWidth="1"/>
    <col min="1305" max="1305" width="17.85546875" style="34" customWidth="1"/>
    <col min="1306" max="1306" width="17.42578125" style="34" customWidth="1"/>
    <col min="1307" max="1307" width="12.85546875" style="34" customWidth="1"/>
    <col min="1308" max="1308" width="23.42578125" style="34" customWidth="1"/>
    <col min="1309" max="1536" width="3.42578125" style="34"/>
    <col min="1537" max="1537" width="18.42578125" style="34" customWidth="1"/>
    <col min="1538" max="1538" width="9.42578125" style="34" customWidth="1"/>
    <col min="1539" max="1539" width="11.42578125" style="34" customWidth="1"/>
    <col min="1540" max="1547" width="9.42578125" style="34" customWidth="1"/>
    <col min="1548" max="1549" width="3.42578125" style="34"/>
    <col min="1550" max="1550" width="6.42578125" style="34" customWidth="1"/>
    <col min="1551" max="1551" width="45" style="34" customWidth="1"/>
    <col min="1552" max="1552" width="31.85546875" style="34" customWidth="1"/>
    <col min="1553" max="1553" width="9.5703125" style="34" customWidth="1"/>
    <col min="1554" max="1554" width="17.5703125" style="34" customWidth="1"/>
    <col min="1555" max="1555" width="20.7109375" style="34" customWidth="1"/>
    <col min="1556" max="1556" width="23.28515625" style="34" customWidth="1"/>
    <col min="1557" max="1557" width="12.5703125" style="34" customWidth="1"/>
    <col min="1558" max="1558" width="16.140625" style="34" customWidth="1"/>
    <col min="1559" max="1559" width="21.85546875" style="34" customWidth="1"/>
    <col min="1560" max="1560" width="15.28515625" style="34" customWidth="1"/>
    <col min="1561" max="1561" width="17.85546875" style="34" customWidth="1"/>
    <col min="1562" max="1562" width="17.42578125" style="34" customWidth="1"/>
    <col min="1563" max="1563" width="12.85546875" style="34" customWidth="1"/>
    <col min="1564" max="1564" width="23.42578125" style="34" customWidth="1"/>
    <col min="1565" max="1792" width="3.42578125" style="34"/>
    <col min="1793" max="1793" width="18.42578125" style="34" customWidth="1"/>
    <col min="1794" max="1794" width="9.42578125" style="34" customWidth="1"/>
    <col min="1795" max="1795" width="11.42578125" style="34" customWidth="1"/>
    <col min="1796" max="1803" width="9.42578125" style="34" customWidth="1"/>
    <col min="1804" max="1805" width="3.42578125" style="34"/>
    <col min="1806" max="1806" width="6.42578125" style="34" customWidth="1"/>
    <col min="1807" max="1807" width="45" style="34" customWidth="1"/>
    <col min="1808" max="1808" width="31.85546875" style="34" customWidth="1"/>
    <col min="1809" max="1809" width="9.5703125" style="34" customWidth="1"/>
    <col min="1810" max="1810" width="17.5703125" style="34" customWidth="1"/>
    <col min="1811" max="1811" width="20.7109375" style="34" customWidth="1"/>
    <col min="1812" max="1812" width="23.28515625" style="34" customWidth="1"/>
    <col min="1813" max="1813" width="12.5703125" style="34" customWidth="1"/>
    <col min="1814" max="1814" width="16.140625" style="34" customWidth="1"/>
    <col min="1815" max="1815" width="21.85546875" style="34" customWidth="1"/>
    <col min="1816" max="1816" width="15.28515625" style="34" customWidth="1"/>
    <col min="1817" max="1817" width="17.85546875" style="34" customWidth="1"/>
    <col min="1818" max="1818" width="17.42578125" style="34" customWidth="1"/>
    <col min="1819" max="1819" width="12.85546875" style="34" customWidth="1"/>
    <col min="1820" max="1820" width="23.42578125" style="34" customWidth="1"/>
    <col min="1821" max="2048" width="3.42578125" style="34"/>
    <col min="2049" max="2049" width="18.42578125" style="34" customWidth="1"/>
    <col min="2050" max="2050" width="9.42578125" style="34" customWidth="1"/>
    <col min="2051" max="2051" width="11.42578125" style="34" customWidth="1"/>
    <col min="2052" max="2059" width="9.42578125" style="34" customWidth="1"/>
    <col min="2060" max="2061" width="3.42578125" style="34"/>
    <col min="2062" max="2062" width="6.42578125" style="34" customWidth="1"/>
    <col min="2063" max="2063" width="45" style="34" customWidth="1"/>
    <col min="2064" max="2064" width="31.85546875" style="34" customWidth="1"/>
    <col min="2065" max="2065" width="9.5703125" style="34" customWidth="1"/>
    <col min="2066" max="2066" width="17.5703125" style="34" customWidth="1"/>
    <col min="2067" max="2067" width="20.7109375" style="34" customWidth="1"/>
    <col min="2068" max="2068" width="23.28515625" style="34" customWidth="1"/>
    <col min="2069" max="2069" width="12.5703125" style="34" customWidth="1"/>
    <col min="2070" max="2070" width="16.140625" style="34" customWidth="1"/>
    <col min="2071" max="2071" width="21.85546875" style="34" customWidth="1"/>
    <col min="2072" max="2072" width="15.28515625" style="34" customWidth="1"/>
    <col min="2073" max="2073" width="17.85546875" style="34" customWidth="1"/>
    <col min="2074" max="2074" width="17.42578125" style="34" customWidth="1"/>
    <col min="2075" max="2075" width="12.85546875" style="34" customWidth="1"/>
    <col min="2076" max="2076" width="23.42578125" style="34" customWidth="1"/>
    <col min="2077" max="2304" width="3.42578125" style="34"/>
    <col min="2305" max="2305" width="18.42578125" style="34" customWidth="1"/>
    <col min="2306" max="2306" width="9.42578125" style="34" customWidth="1"/>
    <col min="2307" max="2307" width="11.42578125" style="34" customWidth="1"/>
    <col min="2308" max="2315" width="9.42578125" style="34" customWidth="1"/>
    <col min="2316" max="2317" width="3.42578125" style="34"/>
    <col min="2318" max="2318" width="6.42578125" style="34" customWidth="1"/>
    <col min="2319" max="2319" width="45" style="34" customWidth="1"/>
    <col min="2320" max="2320" width="31.85546875" style="34" customWidth="1"/>
    <col min="2321" max="2321" width="9.5703125" style="34" customWidth="1"/>
    <col min="2322" max="2322" width="17.5703125" style="34" customWidth="1"/>
    <col min="2323" max="2323" width="20.7109375" style="34" customWidth="1"/>
    <col min="2324" max="2324" width="23.28515625" style="34" customWidth="1"/>
    <col min="2325" max="2325" width="12.5703125" style="34" customWidth="1"/>
    <col min="2326" max="2326" width="16.140625" style="34" customWidth="1"/>
    <col min="2327" max="2327" width="21.85546875" style="34" customWidth="1"/>
    <col min="2328" max="2328" width="15.28515625" style="34" customWidth="1"/>
    <col min="2329" max="2329" width="17.85546875" style="34" customWidth="1"/>
    <col min="2330" max="2330" width="17.42578125" style="34" customWidth="1"/>
    <col min="2331" max="2331" width="12.85546875" style="34" customWidth="1"/>
    <col min="2332" max="2332" width="23.42578125" style="34" customWidth="1"/>
    <col min="2333" max="2560" width="3.42578125" style="34"/>
    <col min="2561" max="2561" width="18.42578125" style="34" customWidth="1"/>
    <col min="2562" max="2562" width="9.42578125" style="34" customWidth="1"/>
    <col min="2563" max="2563" width="11.42578125" style="34" customWidth="1"/>
    <col min="2564" max="2571" width="9.42578125" style="34" customWidth="1"/>
    <col min="2572" max="2573" width="3.42578125" style="34"/>
    <col min="2574" max="2574" width="6.42578125" style="34" customWidth="1"/>
    <col min="2575" max="2575" width="45" style="34" customWidth="1"/>
    <col min="2576" max="2576" width="31.85546875" style="34" customWidth="1"/>
    <col min="2577" max="2577" width="9.5703125" style="34" customWidth="1"/>
    <col min="2578" max="2578" width="17.5703125" style="34" customWidth="1"/>
    <col min="2579" max="2579" width="20.7109375" style="34" customWidth="1"/>
    <col min="2580" max="2580" width="23.28515625" style="34" customWidth="1"/>
    <col min="2581" max="2581" width="12.5703125" style="34" customWidth="1"/>
    <col min="2582" max="2582" width="16.140625" style="34" customWidth="1"/>
    <col min="2583" max="2583" width="21.85546875" style="34" customWidth="1"/>
    <col min="2584" max="2584" width="15.28515625" style="34" customWidth="1"/>
    <col min="2585" max="2585" width="17.85546875" style="34" customWidth="1"/>
    <col min="2586" max="2586" width="17.42578125" style="34" customWidth="1"/>
    <col min="2587" max="2587" width="12.85546875" style="34" customWidth="1"/>
    <col min="2588" max="2588" width="23.42578125" style="34" customWidth="1"/>
    <col min="2589" max="2816" width="3.42578125" style="34"/>
    <col min="2817" max="2817" width="18.42578125" style="34" customWidth="1"/>
    <col min="2818" max="2818" width="9.42578125" style="34" customWidth="1"/>
    <col min="2819" max="2819" width="11.42578125" style="34" customWidth="1"/>
    <col min="2820" max="2827" width="9.42578125" style="34" customWidth="1"/>
    <col min="2828" max="2829" width="3.42578125" style="34"/>
    <col min="2830" max="2830" width="6.42578125" style="34" customWidth="1"/>
    <col min="2831" max="2831" width="45" style="34" customWidth="1"/>
    <col min="2832" max="2832" width="31.85546875" style="34" customWidth="1"/>
    <col min="2833" max="2833" width="9.5703125" style="34" customWidth="1"/>
    <col min="2834" max="2834" width="17.5703125" style="34" customWidth="1"/>
    <col min="2835" max="2835" width="20.7109375" style="34" customWidth="1"/>
    <col min="2836" max="2836" width="23.28515625" style="34" customWidth="1"/>
    <col min="2837" max="2837" width="12.5703125" style="34" customWidth="1"/>
    <col min="2838" max="2838" width="16.140625" style="34" customWidth="1"/>
    <col min="2839" max="2839" width="21.85546875" style="34" customWidth="1"/>
    <col min="2840" max="2840" width="15.28515625" style="34" customWidth="1"/>
    <col min="2841" max="2841" width="17.85546875" style="34" customWidth="1"/>
    <col min="2842" max="2842" width="17.42578125" style="34" customWidth="1"/>
    <col min="2843" max="2843" width="12.85546875" style="34" customWidth="1"/>
    <col min="2844" max="2844" width="23.42578125" style="34" customWidth="1"/>
    <col min="2845" max="3072" width="3.42578125" style="34"/>
    <col min="3073" max="3073" width="18.42578125" style="34" customWidth="1"/>
    <col min="3074" max="3074" width="9.42578125" style="34" customWidth="1"/>
    <col min="3075" max="3075" width="11.42578125" style="34" customWidth="1"/>
    <col min="3076" max="3083" width="9.42578125" style="34" customWidth="1"/>
    <col min="3084" max="3085" width="3.42578125" style="34"/>
    <col min="3086" max="3086" width="6.42578125" style="34" customWidth="1"/>
    <col min="3087" max="3087" width="45" style="34" customWidth="1"/>
    <col min="3088" max="3088" width="31.85546875" style="34" customWidth="1"/>
    <col min="3089" max="3089" width="9.5703125" style="34" customWidth="1"/>
    <col min="3090" max="3090" width="17.5703125" style="34" customWidth="1"/>
    <col min="3091" max="3091" width="20.7109375" style="34" customWidth="1"/>
    <col min="3092" max="3092" width="23.28515625" style="34" customWidth="1"/>
    <col min="3093" max="3093" width="12.5703125" style="34" customWidth="1"/>
    <col min="3094" max="3094" width="16.140625" style="34" customWidth="1"/>
    <col min="3095" max="3095" width="21.85546875" style="34" customWidth="1"/>
    <col min="3096" max="3096" width="15.28515625" style="34" customWidth="1"/>
    <col min="3097" max="3097" width="17.85546875" style="34" customWidth="1"/>
    <col min="3098" max="3098" width="17.42578125" style="34" customWidth="1"/>
    <col min="3099" max="3099" width="12.85546875" style="34" customWidth="1"/>
    <col min="3100" max="3100" width="23.42578125" style="34" customWidth="1"/>
    <col min="3101" max="3328" width="3.42578125" style="34"/>
    <col min="3329" max="3329" width="18.42578125" style="34" customWidth="1"/>
    <col min="3330" max="3330" width="9.42578125" style="34" customWidth="1"/>
    <col min="3331" max="3331" width="11.42578125" style="34" customWidth="1"/>
    <col min="3332" max="3339" width="9.42578125" style="34" customWidth="1"/>
    <col min="3340" max="3341" width="3.42578125" style="34"/>
    <col min="3342" max="3342" width="6.42578125" style="34" customWidth="1"/>
    <col min="3343" max="3343" width="45" style="34" customWidth="1"/>
    <col min="3344" max="3344" width="31.85546875" style="34" customWidth="1"/>
    <col min="3345" max="3345" width="9.5703125" style="34" customWidth="1"/>
    <col min="3346" max="3346" width="17.5703125" style="34" customWidth="1"/>
    <col min="3347" max="3347" width="20.7109375" style="34" customWidth="1"/>
    <col min="3348" max="3348" width="23.28515625" style="34" customWidth="1"/>
    <col min="3349" max="3349" width="12.5703125" style="34" customWidth="1"/>
    <col min="3350" max="3350" width="16.140625" style="34" customWidth="1"/>
    <col min="3351" max="3351" width="21.85546875" style="34" customWidth="1"/>
    <col min="3352" max="3352" width="15.28515625" style="34" customWidth="1"/>
    <col min="3353" max="3353" width="17.85546875" style="34" customWidth="1"/>
    <col min="3354" max="3354" width="17.42578125" style="34" customWidth="1"/>
    <col min="3355" max="3355" width="12.85546875" style="34" customWidth="1"/>
    <col min="3356" max="3356" width="23.42578125" style="34" customWidth="1"/>
    <col min="3357" max="3584" width="3.42578125" style="34"/>
    <col min="3585" max="3585" width="18.42578125" style="34" customWidth="1"/>
    <col min="3586" max="3586" width="9.42578125" style="34" customWidth="1"/>
    <col min="3587" max="3587" width="11.42578125" style="34" customWidth="1"/>
    <col min="3588" max="3595" width="9.42578125" style="34" customWidth="1"/>
    <col min="3596" max="3597" width="3.42578125" style="34"/>
    <col min="3598" max="3598" width="6.42578125" style="34" customWidth="1"/>
    <col min="3599" max="3599" width="45" style="34" customWidth="1"/>
    <col min="3600" max="3600" width="31.85546875" style="34" customWidth="1"/>
    <col min="3601" max="3601" width="9.5703125" style="34" customWidth="1"/>
    <col min="3602" max="3602" width="17.5703125" style="34" customWidth="1"/>
    <col min="3603" max="3603" width="20.7109375" style="34" customWidth="1"/>
    <col min="3604" max="3604" width="23.28515625" style="34" customWidth="1"/>
    <col min="3605" max="3605" width="12.5703125" style="34" customWidth="1"/>
    <col min="3606" max="3606" width="16.140625" style="34" customWidth="1"/>
    <col min="3607" max="3607" width="21.85546875" style="34" customWidth="1"/>
    <col min="3608" max="3608" width="15.28515625" style="34" customWidth="1"/>
    <col min="3609" max="3609" width="17.85546875" style="34" customWidth="1"/>
    <col min="3610" max="3610" width="17.42578125" style="34" customWidth="1"/>
    <col min="3611" max="3611" width="12.85546875" style="34" customWidth="1"/>
    <col min="3612" max="3612" width="23.42578125" style="34" customWidth="1"/>
    <col min="3613" max="3840" width="3.42578125" style="34"/>
    <col min="3841" max="3841" width="18.42578125" style="34" customWidth="1"/>
    <col min="3842" max="3842" width="9.42578125" style="34" customWidth="1"/>
    <col min="3843" max="3843" width="11.42578125" style="34" customWidth="1"/>
    <col min="3844" max="3851" width="9.42578125" style="34" customWidth="1"/>
    <col min="3852" max="3853" width="3.42578125" style="34"/>
    <col min="3854" max="3854" width="6.42578125" style="34" customWidth="1"/>
    <col min="3855" max="3855" width="45" style="34" customWidth="1"/>
    <col min="3856" max="3856" width="31.85546875" style="34" customWidth="1"/>
    <col min="3857" max="3857" width="9.5703125" style="34" customWidth="1"/>
    <col min="3858" max="3858" width="17.5703125" style="34" customWidth="1"/>
    <col min="3859" max="3859" width="20.7109375" style="34" customWidth="1"/>
    <col min="3860" max="3860" width="23.28515625" style="34" customWidth="1"/>
    <col min="3861" max="3861" width="12.5703125" style="34" customWidth="1"/>
    <col min="3862" max="3862" width="16.140625" style="34" customWidth="1"/>
    <col min="3863" max="3863" width="21.85546875" style="34" customWidth="1"/>
    <col min="3864" max="3864" width="15.28515625" style="34" customWidth="1"/>
    <col min="3865" max="3865" width="17.85546875" style="34" customWidth="1"/>
    <col min="3866" max="3866" width="17.42578125" style="34" customWidth="1"/>
    <col min="3867" max="3867" width="12.85546875" style="34" customWidth="1"/>
    <col min="3868" max="3868" width="23.42578125" style="34" customWidth="1"/>
    <col min="3869" max="4096" width="3.42578125" style="34"/>
    <col min="4097" max="4097" width="18.42578125" style="34" customWidth="1"/>
    <col min="4098" max="4098" width="9.42578125" style="34" customWidth="1"/>
    <col min="4099" max="4099" width="11.42578125" style="34" customWidth="1"/>
    <col min="4100" max="4107" width="9.42578125" style="34" customWidth="1"/>
    <col min="4108" max="4109" width="3.42578125" style="34"/>
    <col min="4110" max="4110" width="6.42578125" style="34" customWidth="1"/>
    <col min="4111" max="4111" width="45" style="34" customWidth="1"/>
    <col min="4112" max="4112" width="31.85546875" style="34" customWidth="1"/>
    <col min="4113" max="4113" width="9.5703125" style="34" customWidth="1"/>
    <col min="4114" max="4114" width="17.5703125" style="34" customWidth="1"/>
    <col min="4115" max="4115" width="20.7109375" style="34" customWidth="1"/>
    <col min="4116" max="4116" width="23.28515625" style="34" customWidth="1"/>
    <col min="4117" max="4117" width="12.5703125" style="34" customWidth="1"/>
    <col min="4118" max="4118" width="16.140625" style="34" customWidth="1"/>
    <col min="4119" max="4119" width="21.85546875" style="34" customWidth="1"/>
    <col min="4120" max="4120" width="15.28515625" style="34" customWidth="1"/>
    <col min="4121" max="4121" width="17.85546875" style="34" customWidth="1"/>
    <col min="4122" max="4122" width="17.42578125" style="34" customWidth="1"/>
    <col min="4123" max="4123" width="12.85546875" style="34" customWidth="1"/>
    <col min="4124" max="4124" width="23.42578125" style="34" customWidth="1"/>
    <col min="4125" max="4352" width="3.42578125" style="34"/>
    <col min="4353" max="4353" width="18.42578125" style="34" customWidth="1"/>
    <col min="4354" max="4354" width="9.42578125" style="34" customWidth="1"/>
    <col min="4355" max="4355" width="11.42578125" style="34" customWidth="1"/>
    <col min="4356" max="4363" width="9.42578125" style="34" customWidth="1"/>
    <col min="4364" max="4365" width="3.42578125" style="34"/>
    <col min="4366" max="4366" width="6.42578125" style="34" customWidth="1"/>
    <col min="4367" max="4367" width="45" style="34" customWidth="1"/>
    <col min="4368" max="4368" width="31.85546875" style="34" customWidth="1"/>
    <col min="4369" max="4369" width="9.5703125" style="34" customWidth="1"/>
    <col min="4370" max="4370" width="17.5703125" style="34" customWidth="1"/>
    <col min="4371" max="4371" width="20.7109375" style="34" customWidth="1"/>
    <col min="4372" max="4372" width="23.28515625" style="34" customWidth="1"/>
    <col min="4373" max="4373" width="12.5703125" style="34" customWidth="1"/>
    <col min="4374" max="4374" width="16.140625" style="34" customWidth="1"/>
    <col min="4375" max="4375" width="21.85546875" style="34" customWidth="1"/>
    <col min="4376" max="4376" width="15.28515625" style="34" customWidth="1"/>
    <col min="4377" max="4377" width="17.85546875" style="34" customWidth="1"/>
    <col min="4378" max="4378" width="17.42578125" style="34" customWidth="1"/>
    <col min="4379" max="4379" width="12.85546875" style="34" customWidth="1"/>
    <col min="4380" max="4380" width="23.42578125" style="34" customWidth="1"/>
    <col min="4381" max="4608" width="3.42578125" style="34"/>
    <col min="4609" max="4609" width="18.42578125" style="34" customWidth="1"/>
    <col min="4610" max="4610" width="9.42578125" style="34" customWidth="1"/>
    <col min="4611" max="4611" width="11.42578125" style="34" customWidth="1"/>
    <col min="4612" max="4619" width="9.42578125" style="34" customWidth="1"/>
    <col min="4620" max="4621" width="3.42578125" style="34"/>
    <col min="4622" max="4622" width="6.42578125" style="34" customWidth="1"/>
    <col min="4623" max="4623" width="45" style="34" customWidth="1"/>
    <col min="4624" max="4624" width="31.85546875" style="34" customWidth="1"/>
    <col min="4625" max="4625" width="9.5703125" style="34" customWidth="1"/>
    <col min="4626" max="4626" width="17.5703125" style="34" customWidth="1"/>
    <col min="4627" max="4627" width="20.7109375" style="34" customWidth="1"/>
    <col min="4628" max="4628" width="23.28515625" style="34" customWidth="1"/>
    <col min="4629" max="4629" width="12.5703125" style="34" customWidth="1"/>
    <col min="4630" max="4630" width="16.140625" style="34" customWidth="1"/>
    <col min="4631" max="4631" width="21.85546875" style="34" customWidth="1"/>
    <col min="4632" max="4632" width="15.28515625" style="34" customWidth="1"/>
    <col min="4633" max="4633" width="17.85546875" style="34" customWidth="1"/>
    <col min="4634" max="4634" width="17.42578125" style="34" customWidth="1"/>
    <col min="4635" max="4635" width="12.85546875" style="34" customWidth="1"/>
    <col min="4636" max="4636" width="23.42578125" style="34" customWidth="1"/>
    <col min="4637" max="4864" width="3.42578125" style="34"/>
    <col min="4865" max="4865" width="18.42578125" style="34" customWidth="1"/>
    <col min="4866" max="4866" width="9.42578125" style="34" customWidth="1"/>
    <col min="4867" max="4867" width="11.42578125" style="34" customWidth="1"/>
    <col min="4868" max="4875" width="9.42578125" style="34" customWidth="1"/>
    <col min="4876" max="4877" width="3.42578125" style="34"/>
    <col min="4878" max="4878" width="6.42578125" style="34" customWidth="1"/>
    <col min="4879" max="4879" width="45" style="34" customWidth="1"/>
    <col min="4880" max="4880" width="31.85546875" style="34" customWidth="1"/>
    <col min="4881" max="4881" width="9.5703125" style="34" customWidth="1"/>
    <col min="4882" max="4882" width="17.5703125" style="34" customWidth="1"/>
    <col min="4883" max="4883" width="20.7109375" style="34" customWidth="1"/>
    <col min="4884" max="4884" width="23.28515625" style="34" customWidth="1"/>
    <col min="4885" max="4885" width="12.5703125" style="34" customWidth="1"/>
    <col min="4886" max="4886" width="16.140625" style="34" customWidth="1"/>
    <col min="4887" max="4887" width="21.85546875" style="34" customWidth="1"/>
    <col min="4888" max="4888" width="15.28515625" style="34" customWidth="1"/>
    <col min="4889" max="4889" width="17.85546875" style="34" customWidth="1"/>
    <col min="4890" max="4890" width="17.42578125" style="34" customWidth="1"/>
    <col min="4891" max="4891" width="12.85546875" style="34" customWidth="1"/>
    <col min="4892" max="4892" width="23.42578125" style="34" customWidth="1"/>
    <col min="4893" max="5120" width="3.42578125" style="34"/>
    <col min="5121" max="5121" width="18.42578125" style="34" customWidth="1"/>
    <col min="5122" max="5122" width="9.42578125" style="34" customWidth="1"/>
    <col min="5123" max="5123" width="11.42578125" style="34" customWidth="1"/>
    <col min="5124" max="5131" width="9.42578125" style="34" customWidth="1"/>
    <col min="5132" max="5133" width="3.42578125" style="34"/>
    <col min="5134" max="5134" width="6.42578125" style="34" customWidth="1"/>
    <col min="5135" max="5135" width="45" style="34" customWidth="1"/>
    <col min="5136" max="5136" width="31.85546875" style="34" customWidth="1"/>
    <col min="5137" max="5137" width="9.5703125" style="34" customWidth="1"/>
    <col min="5138" max="5138" width="17.5703125" style="34" customWidth="1"/>
    <col min="5139" max="5139" width="20.7109375" style="34" customWidth="1"/>
    <col min="5140" max="5140" width="23.28515625" style="34" customWidth="1"/>
    <col min="5141" max="5141" width="12.5703125" style="34" customWidth="1"/>
    <col min="5142" max="5142" width="16.140625" style="34" customWidth="1"/>
    <col min="5143" max="5143" width="21.85546875" style="34" customWidth="1"/>
    <col min="5144" max="5144" width="15.28515625" style="34" customWidth="1"/>
    <col min="5145" max="5145" width="17.85546875" style="34" customWidth="1"/>
    <col min="5146" max="5146" width="17.42578125" style="34" customWidth="1"/>
    <col min="5147" max="5147" width="12.85546875" style="34" customWidth="1"/>
    <col min="5148" max="5148" width="23.42578125" style="34" customWidth="1"/>
    <col min="5149" max="5376" width="3.42578125" style="34"/>
    <col min="5377" max="5377" width="18.42578125" style="34" customWidth="1"/>
    <col min="5378" max="5378" width="9.42578125" style="34" customWidth="1"/>
    <col min="5379" max="5379" width="11.42578125" style="34" customWidth="1"/>
    <col min="5380" max="5387" width="9.42578125" style="34" customWidth="1"/>
    <col min="5388" max="5389" width="3.42578125" style="34"/>
    <col min="5390" max="5390" width="6.42578125" style="34" customWidth="1"/>
    <col min="5391" max="5391" width="45" style="34" customWidth="1"/>
    <col min="5392" max="5392" width="31.85546875" style="34" customWidth="1"/>
    <col min="5393" max="5393" width="9.5703125" style="34" customWidth="1"/>
    <col min="5394" max="5394" width="17.5703125" style="34" customWidth="1"/>
    <col min="5395" max="5395" width="20.7109375" style="34" customWidth="1"/>
    <col min="5396" max="5396" width="23.28515625" style="34" customWidth="1"/>
    <col min="5397" max="5397" width="12.5703125" style="34" customWidth="1"/>
    <col min="5398" max="5398" width="16.140625" style="34" customWidth="1"/>
    <col min="5399" max="5399" width="21.85546875" style="34" customWidth="1"/>
    <col min="5400" max="5400" width="15.28515625" style="34" customWidth="1"/>
    <col min="5401" max="5401" width="17.85546875" style="34" customWidth="1"/>
    <col min="5402" max="5402" width="17.42578125" style="34" customWidth="1"/>
    <col min="5403" max="5403" width="12.85546875" style="34" customWidth="1"/>
    <col min="5404" max="5404" width="23.42578125" style="34" customWidth="1"/>
    <col min="5405" max="5632" width="3.42578125" style="34"/>
    <col min="5633" max="5633" width="18.42578125" style="34" customWidth="1"/>
    <col min="5634" max="5634" width="9.42578125" style="34" customWidth="1"/>
    <col min="5635" max="5635" width="11.42578125" style="34" customWidth="1"/>
    <col min="5636" max="5643" width="9.42578125" style="34" customWidth="1"/>
    <col min="5644" max="5645" width="3.42578125" style="34"/>
    <col min="5646" max="5646" width="6.42578125" style="34" customWidth="1"/>
    <col min="5647" max="5647" width="45" style="34" customWidth="1"/>
    <col min="5648" max="5648" width="31.85546875" style="34" customWidth="1"/>
    <col min="5649" max="5649" width="9.5703125" style="34" customWidth="1"/>
    <col min="5650" max="5650" width="17.5703125" style="34" customWidth="1"/>
    <col min="5651" max="5651" width="20.7109375" style="34" customWidth="1"/>
    <col min="5652" max="5652" width="23.28515625" style="34" customWidth="1"/>
    <col min="5653" max="5653" width="12.5703125" style="34" customWidth="1"/>
    <col min="5654" max="5654" width="16.140625" style="34" customWidth="1"/>
    <col min="5655" max="5655" width="21.85546875" style="34" customWidth="1"/>
    <col min="5656" max="5656" width="15.28515625" style="34" customWidth="1"/>
    <col min="5657" max="5657" width="17.85546875" style="34" customWidth="1"/>
    <col min="5658" max="5658" width="17.42578125" style="34" customWidth="1"/>
    <col min="5659" max="5659" width="12.85546875" style="34" customWidth="1"/>
    <col min="5660" max="5660" width="23.42578125" style="34" customWidth="1"/>
    <col min="5661" max="5888" width="3.42578125" style="34"/>
    <col min="5889" max="5889" width="18.42578125" style="34" customWidth="1"/>
    <col min="5890" max="5890" width="9.42578125" style="34" customWidth="1"/>
    <col min="5891" max="5891" width="11.42578125" style="34" customWidth="1"/>
    <col min="5892" max="5899" width="9.42578125" style="34" customWidth="1"/>
    <col min="5900" max="5901" width="3.42578125" style="34"/>
    <col min="5902" max="5902" width="6.42578125" style="34" customWidth="1"/>
    <col min="5903" max="5903" width="45" style="34" customWidth="1"/>
    <col min="5904" max="5904" width="31.85546875" style="34" customWidth="1"/>
    <col min="5905" max="5905" width="9.5703125" style="34" customWidth="1"/>
    <col min="5906" max="5906" width="17.5703125" style="34" customWidth="1"/>
    <col min="5907" max="5907" width="20.7109375" style="34" customWidth="1"/>
    <col min="5908" max="5908" width="23.28515625" style="34" customWidth="1"/>
    <col min="5909" max="5909" width="12.5703125" style="34" customWidth="1"/>
    <col min="5910" max="5910" width="16.140625" style="34" customWidth="1"/>
    <col min="5911" max="5911" width="21.85546875" style="34" customWidth="1"/>
    <col min="5912" max="5912" width="15.28515625" style="34" customWidth="1"/>
    <col min="5913" max="5913" width="17.85546875" style="34" customWidth="1"/>
    <col min="5914" max="5914" width="17.42578125" style="34" customWidth="1"/>
    <col min="5915" max="5915" width="12.85546875" style="34" customWidth="1"/>
    <col min="5916" max="5916" width="23.42578125" style="34" customWidth="1"/>
    <col min="5917" max="6144" width="3.42578125" style="34"/>
    <col min="6145" max="6145" width="18.42578125" style="34" customWidth="1"/>
    <col min="6146" max="6146" width="9.42578125" style="34" customWidth="1"/>
    <col min="6147" max="6147" width="11.42578125" style="34" customWidth="1"/>
    <col min="6148" max="6155" width="9.42578125" style="34" customWidth="1"/>
    <col min="6156" max="6157" width="3.42578125" style="34"/>
    <col min="6158" max="6158" width="6.42578125" style="34" customWidth="1"/>
    <col min="6159" max="6159" width="45" style="34" customWidth="1"/>
    <col min="6160" max="6160" width="31.85546875" style="34" customWidth="1"/>
    <col min="6161" max="6161" width="9.5703125" style="34" customWidth="1"/>
    <col min="6162" max="6162" width="17.5703125" style="34" customWidth="1"/>
    <col min="6163" max="6163" width="20.7109375" style="34" customWidth="1"/>
    <col min="6164" max="6164" width="23.28515625" style="34" customWidth="1"/>
    <col min="6165" max="6165" width="12.5703125" style="34" customWidth="1"/>
    <col min="6166" max="6166" width="16.140625" style="34" customWidth="1"/>
    <col min="6167" max="6167" width="21.85546875" style="34" customWidth="1"/>
    <col min="6168" max="6168" width="15.28515625" style="34" customWidth="1"/>
    <col min="6169" max="6169" width="17.85546875" style="34" customWidth="1"/>
    <col min="6170" max="6170" width="17.42578125" style="34" customWidth="1"/>
    <col min="6171" max="6171" width="12.85546875" style="34" customWidth="1"/>
    <col min="6172" max="6172" width="23.42578125" style="34" customWidth="1"/>
    <col min="6173" max="6400" width="3.42578125" style="34"/>
    <col min="6401" max="6401" width="18.42578125" style="34" customWidth="1"/>
    <col min="6402" max="6402" width="9.42578125" style="34" customWidth="1"/>
    <col min="6403" max="6403" width="11.42578125" style="34" customWidth="1"/>
    <col min="6404" max="6411" width="9.42578125" style="34" customWidth="1"/>
    <col min="6412" max="6413" width="3.42578125" style="34"/>
    <col min="6414" max="6414" width="6.42578125" style="34" customWidth="1"/>
    <col min="6415" max="6415" width="45" style="34" customWidth="1"/>
    <col min="6416" max="6416" width="31.85546875" style="34" customWidth="1"/>
    <col min="6417" max="6417" width="9.5703125" style="34" customWidth="1"/>
    <col min="6418" max="6418" width="17.5703125" style="34" customWidth="1"/>
    <col min="6419" max="6419" width="20.7109375" style="34" customWidth="1"/>
    <col min="6420" max="6420" width="23.28515625" style="34" customWidth="1"/>
    <col min="6421" max="6421" width="12.5703125" style="34" customWidth="1"/>
    <col min="6422" max="6422" width="16.140625" style="34" customWidth="1"/>
    <col min="6423" max="6423" width="21.85546875" style="34" customWidth="1"/>
    <col min="6424" max="6424" width="15.28515625" style="34" customWidth="1"/>
    <col min="6425" max="6425" width="17.85546875" style="34" customWidth="1"/>
    <col min="6426" max="6426" width="17.42578125" style="34" customWidth="1"/>
    <col min="6427" max="6427" width="12.85546875" style="34" customWidth="1"/>
    <col min="6428" max="6428" width="23.42578125" style="34" customWidth="1"/>
    <col min="6429" max="6656" width="3.42578125" style="34"/>
    <col min="6657" max="6657" width="18.42578125" style="34" customWidth="1"/>
    <col min="6658" max="6658" width="9.42578125" style="34" customWidth="1"/>
    <col min="6659" max="6659" width="11.42578125" style="34" customWidth="1"/>
    <col min="6660" max="6667" width="9.42578125" style="34" customWidth="1"/>
    <col min="6668" max="6669" width="3.42578125" style="34"/>
    <col min="6670" max="6670" width="6.42578125" style="34" customWidth="1"/>
    <col min="6671" max="6671" width="45" style="34" customWidth="1"/>
    <col min="6672" max="6672" width="31.85546875" style="34" customWidth="1"/>
    <col min="6673" max="6673" width="9.5703125" style="34" customWidth="1"/>
    <col min="6674" max="6674" width="17.5703125" style="34" customWidth="1"/>
    <col min="6675" max="6675" width="20.7109375" style="34" customWidth="1"/>
    <col min="6676" max="6676" width="23.28515625" style="34" customWidth="1"/>
    <col min="6677" max="6677" width="12.5703125" style="34" customWidth="1"/>
    <col min="6678" max="6678" width="16.140625" style="34" customWidth="1"/>
    <col min="6679" max="6679" width="21.85546875" style="34" customWidth="1"/>
    <col min="6680" max="6680" width="15.28515625" style="34" customWidth="1"/>
    <col min="6681" max="6681" width="17.85546875" style="34" customWidth="1"/>
    <col min="6682" max="6682" width="17.42578125" style="34" customWidth="1"/>
    <col min="6683" max="6683" width="12.85546875" style="34" customWidth="1"/>
    <col min="6684" max="6684" width="23.42578125" style="34" customWidth="1"/>
    <col min="6685" max="6912" width="3.42578125" style="34"/>
    <col min="6913" max="6913" width="18.42578125" style="34" customWidth="1"/>
    <col min="6914" max="6914" width="9.42578125" style="34" customWidth="1"/>
    <col min="6915" max="6915" width="11.42578125" style="34" customWidth="1"/>
    <col min="6916" max="6923" width="9.42578125" style="34" customWidth="1"/>
    <col min="6924" max="6925" width="3.42578125" style="34"/>
    <col min="6926" max="6926" width="6.42578125" style="34" customWidth="1"/>
    <col min="6927" max="6927" width="45" style="34" customWidth="1"/>
    <col min="6928" max="6928" width="31.85546875" style="34" customWidth="1"/>
    <col min="6929" max="6929" width="9.5703125" style="34" customWidth="1"/>
    <col min="6930" max="6930" width="17.5703125" style="34" customWidth="1"/>
    <col min="6931" max="6931" width="20.7109375" style="34" customWidth="1"/>
    <col min="6932" max="6932" width="23.28515625" style="34" customWidth="1"/>
    <col min="6933" max="6933" width="12.5703125" style="34" customWidth="1"/>
    <col min="6934" max="6934" width="16.140625" style="34" customWidth="1"/>
    <col min="6935" max="6935" width="21.85546875" style="34" customWidth="1"/>
    <col min="6936" max="6936" width="15.28515625" style="34" customWidth="1"/>
    <col min="6937" max="6937" width="17.85546875" style="34" customWidth="1"/>
    <col min="6938" max="6938" width="17.42578125" style="34" customWidth="1"/>
    <col min="6939" max="6939" width="12.85546875" style="34" customWidth="1"/>
    <col min="6940" max="6940" width="23.42578125" style="34" customWidth="1"/>
    <col min="6941" max="7168" width="3.42578125" style="34"/>
    <col min="7169" max="7169" width="18.42578125" style="34" customWidth="1"/>
    <col min="7170" max="7170" width="9.42578125" style="34" customWidth="1"/>
    <col min="7171" max="7171" width="11.42578125" style="34" customWidth="1"/>
    <col min="7172" max="7179" width="9.42578125" style="34" customWidth="1"/>
    <col min="7180" max="7181" width="3.42578125" style="34"/>
    <col min="7182" max="7182" width="6.42578125" style="34" customWidth="1"/>
    <col min="7183" max="7183" width="45" style="34" customWidth="1"/>
    <col min="7184" max="7184" width="31.85546875" style="34" customWidth="1"/>
    <col min="7185" max="7185" width="9.5703125" style="34" customWidth="1"/>
    <col min="7186" max="7186" width="17.5703125" style="34" customWidth="1"/>
    <col min="7187" max="7187" width="20.7109375" style="34" customWidth="1"/>
    <col min="7188" max="7188" width="23.28515625" style="34" customWidth="1"/>
    <col min="7189" max="7189" width="12.5703125" style="34" customWidth="1"/>
    <col min="7190" max="7190" width="16.140625" style="34" customWidth="1"/>
    <col min="7191" max="7191" width="21.85546875" style="34" customWidth="1"/>
    <col min="7192" max="7192" width="15.28515625" style="34" customWidth="1"/>
    <col min="7193" max="7193" width="17.85546875" style="34" customWidth="1"/>
    <col min="7194" max="7194" width="17.42578125" style="34" customWidth="1"/>
    <col min="7195" max="7195" width="12.85546875" style="34" customWidth="1"/>
    <col min="7196" max="7196" width="23.42578125" style="34" customWidth="1"/>
    <col min="7197" max="7424" width="3.42578125" style="34"/>
    <col min="7425" max="7425" width="18.42578125" style="34" customWidth="1"/>
    <col min="7426" max="7426" width="9.42578125" style="34" customWidth="1"/>
    <col min="7427" max="7427" width="11.42578125" style="34" customWidth="1"/>
    <col min="7428" max="7435" width="9.42578125" style="34" customWidth="1"/>
    <col min="7436" max="7437" width="3.42578125" style="34"/>
    <col min="7438" max="7438" width="6.42578125" style="34" customWidth="1"/>
    <col min="7439" max="7439" width="45" style="34" customWidth="1"/>
    <col min="7440" max="7440" width="31.85546875" style="34" customWidth="1"/>
    <col min="7441" max="7441" width="9.5703125" style="34" customWidth="1"/>
    <col min="7442" max="7442" width="17.5703125" style="34" customWidth="1"/>
    <col min="7443" max="7443" width="20.7109375" style="34" customWidth="1"/>
    <col min="7444" max="7444" width="23.28515625" style="34" customWidth="1"/>
    <col min="7445" max="7445" width="12.5703125" style="34" customWidth="1"/>
    <col min="7446" max="7446" width="16.140625" style="34" customWidth="1"/>
    <col min="7447" max="7447" width="21.85546875" style="34" customWidth="1"/>
    <col min="7448" max="7448" width="15.28515625" style="34" customWidth="1"/>
    <col min="7449" max="7449" width="17.85546875" style="34" customWidth="1"/>
    <col min="7450" max="7450" width="17.42578125" style="34" customWidth="1"/>
    <col min="7451" max="7451" width="12.85546875" style="34" customWidth="1"/>
    <col min="7452" max="7452" width="23.42578125" style="34" customWidth="1"/>
    <col min="7453" max="7680" width="3.42578125" style="34"/>
    <col min="7681" max="7681" width="18.42578125" style="34" customWidth="1"/>
    <col min="7682" max="7682" width="9.42578125" style="34" customWidth="1"/>
    <col min="7683" max="7683" width="11.42578125" style="34" customWidth="1"/>
    <col min="7684" max="7691" width="9.42578125" style="34" customWidth="1"/>
    <col min="7692" max="7693" width="3.42578125" style="34"/>
    <col min="7694" max="7694" width="6.42578125" style="34" customWidth="1"/>
    <col min="7695" max="7695" width="45" style="34" customWidth="1"/>
    <col min="7696" max="7696" width="31.85546875" style="34" customWidth="1"/>
    <col min="7697" max="7697" width="9.5703125" style="34" customWidth="1"/>
    <col min="7698" max="7698" width="17.5703125" style="34" customWidth="1"/>
    <col min="7699" max="7699" width="20.7109375" style="34" customWidth="1"/>
    <col min="7700" max="7700" width="23.28515625" style="34" customWidth="1"/>
    <col min="7701" max="7701" width="12.5703125" style="34" customWidth="1"/>
    <col min="7702" max="7702" width="16.140625" style="34" customWidth="1"/>
    <col min="7703" max="7703" width="21.85546875" style="34" customWidth="1"/>
    <col min="7704" max="7704" width="15.28515625" style="34" customWidth="1"/>
    <col min="7705" max="7705" width="17.85546875" style="34" customWidth="1"/>
    <col min="7706" max="7706" width="17.42578125" style="34" customWidth="1"/>
    <col min="7707" max="7707" width="12.85546875" style="34" customWidth="1"/>
    <col min="7708" max="7708" width="23.42578125" style="34" customWidth="1"/>
    <col min="7709" max="7936" width="3.42578125" style="34"/>
    <col min="7937" max="7937" width="18.42578125" style="34" customWidth="1"/>
    <col min="7938" max="7938" width="9.42578125" style="34" customWidth="1"/>
    <col min="7939" max="7939" width="11.42578125" style="34" customWidth="1"/>
    <col min="7940" max="7947" width="9.42578125" style="34" customWidth="1"/>
    <col min="7948" max="7949" width="3.42578125" style="34"/>
    <col min="7950" max="7950" width="6.42578125" style="34" customWidth="1"/>
    <col min="7951" max="7951" width="45" style="34" customWidth="1"/>
    <col min="7952" max="7952" width="31.85546875" style="34" customWidth="1"/>
    <col min="7953" max="7953" width="9.5703125" style="34" customWidth="1"/>
    <col min="7954" max="7954" width="17.5703125" style="34" customWidth="1"/>
    <col min="7955" max="7955" width="20.7109375" style="34" customWidth="1"/>
    <col min="7956" max="7956" width="23.28515625" style="34" customWidth="1"/>
    <col min="7957" max="7957" width="12.5703125" style="34" customWidth="1"/>
    <col min="7958" max="7958" width="16.140625" style="34" customWidth="1"/>
    <col min="7959" max="7959" width="21.85546875" style="34" customWidth="1"/>
    <col min="7960" max="7960" width="15.28515625" style="34" customWidth="1"/>
    <col min="7961" max="7961" width="17.85546875" style="34" customWidth="1"/>
    <col min="7962" max="7962" width="17.42578125" style="34" customWidth="1"/>
    <col min="7963" max="7963" width="12.85546875" style="34" customWidth="1"/>
    <col min="7964" max="7964" width="23.42578125" style="34" customWidth="1"/>
    <col min="7965" max="8192" width="3.42578125" style="34"/>
    <col min="8193" max="8193" width="18.42578125" style="34" customWidth="1"/>
    <col min="8194" max="8194" width="9.42578125" style="34" customWidth="1"/>
    <col min="8195" max="8195" width="11.42578125" style="34" customWidth="1"/>
    <col min="8196" max="8203" width="9.42578125" style="34" customWidth="1"/>
    <col min="8204" max="8205" width="3.42578125" style="34"/>
    <col min="8206" max="8206" width="6.42578125" style="34" customWidth="1"/>
    <col min="8207" max="8207" width="45" style="34" customWidth="1"/>
    <col min="8208" max="8208" width="31.85546875" style="34" customWidth="1"/>
    <col min="8209" max="8209" width="9.5703125" style="34" customWidth="1"/>
    <col min="8210" max="8210" width="17.5703125" style="34" customWidth="1"/>
    <col min="8211" max="8211" width="20.7109375" style="34" customWidth="1"/>
    <col min="8212" max="8212" width="23.28515625" style="34" customWidth="1"/>
    <col min="8213" max="8213" width="12.5703125" style="34" customWidth="1"/>
    <col min="8214" max="8214" width="16.140625" style="34" customWidth="1"/>
    <col min="8215" max="8215" width="21.85546875" style="34" customWidth="1"/>
    <col min="8216" max="8216" width="15.28515625" style="34" customWidth="1"/>
    <col min="8217" max="8217" width="17.85546875" style="34" customWidth="1"/>
    <col min="8218" max="8218" width="17.42578125" style="34" customWidth="1"/>
    <col min="8219" max="8219" width="12.85546875" style="34" customWidth="1"/>
    <col min="8220" max="8220" width="23.42578125" style="34" customWidth="1"/>
    <col min="8221" max="8448" width="3.42578125" style="34"/>
    <col min="8449" max="8449" width="18.42578125" style="34" customWidth="1"/>
    <col min="8450" max="8450" width="9.42578125" style="34" customWidth="1"/>
    <col min="8451" max="8451" width="11.42578125" style="34" customWidth="1"/>
    <col min="8452" max="8459" width="9.42578125" style="34" customWidth="1"/>
    <col min="8460" max="8461" width="3.42578125" style="34"/>
    <col min="8462" max="8462" width="6.42578125" style="34" customWidth="1"/>
    <col min="8463" max="8463" width="45" style="34" customWidth="1"/>
    <col min="8464" max="8464" width="31.85546875" style="34" customWidth="1"/>
    <col min="8465" max="8465" width="9.5703125" style="34" customWidth="1"/>
    <col min="8466" max="8466" width="17.5703125" style="34" customWidth="1"/>
    <col min="8467" max="8467" width="20.7109375" style="34" customWidth="1"/>
    <col min="8468" max="8468" width="23.28515625" style="34" customWidth="1"/>
    <col min="8469" max="8469" width="12.5703125" style="34" customWidth="1"/>
    <col min="8470" max="8470" width="16.140625" style="34" customWidth="1"/>
    <col min="8471" max="8471" width="21.85546875" style="34" customWidth="1"/>
    <col min="8472" max="8472" width="15.28515625" style="34" customWidth="1"/>
    <col min="8473" max="8473" width="17.85546875" style="34" customWidth="1"/>
    <col min="8474" max="8474" width="17.42578125" style="34" customWidth="1"/>
    <col min="8475" max="8475" width="12.85546875" style="34" customWidth="1"/>
    <col min="8476" max="8476" width="23.42578125" style="34" customWidth="1"/>
    <col min="8477" max="8704" width="3.42578125" style="34"/>
    <col min="8705" max="8705" width="18.42578125" style="34" customWidth="1"/>
    <col min="8706" max="8706" width="9.42578125" style="34" customWidth="1"/>
    <col min="8707" max="8707" width="11.42578125" style="34" customWidth="1"/>
    <col min="8708" max="8715" width="9.42578125" style="34" customWidth="1"/>
    <col min="8716" max="8717" width="3.42578125" style="34"/>
    <col min="8718" max="8718" width="6.42578125" style="34" customWidth="1"/>
    <col min="8719" max="8719" width="45" style="34" customWidth="1"/>
    <col min="8720" max="8720" width="31.85546875" style="34" customWidth="1"/>
    <col min="8721" max="8721" width="9.5703125" style="34" customWidth="1"/>
    <col min="8722" max="8722" width="17.5703125" style="34" customWidth="1"/>
    <col min="8723" max="8723" width="20.7109375" style="34" customWidth="1"/>
    <col min="8724" max="8724" width="23.28515625" style="34" customWidth="1"/>
    <col min="8725" max="8725" width="12.5703125" style="34" customWidth="1"/>
    <col min="8726" max="8726" width="16.140625" style="34" customWidth="1"/>
    <col min="8727" max="8727" width="21.85546875" style="34" customWidth="1"/>
    <col min="8728" max="8728" width="15.28515625" style="34" customWidth="1"/>
    <col min="8729" max="8729" width="17.85546875" style="34" customWidth="1"/>
    <col min="8730" max="8730" width="17.42578125" style="34" customWidth="1"/>
    <col min="8731" max="8731" width="12.85546875" style="34" customWidth="1"/>
    <col min="8732" max="8732" width="23.42578125" style="34" customWidth="1"/>
    <col min="8733" max="8960" width="3.42578125" style="34"/>
    <col min="8961" max="8961" width="18.42578125" style="34" customWidth="1"/>
    <col min="8962" max="8962" width="9.42578125" style="34" customWidth="1"/>
    <col min="8963" max="8963" width="11.42578125" style="34" customWidth="1"/>
    <col min="8964" max="8971" width="9.42578125" style="34" customWidth="1"/>
    <col min="8972" max="8973" width="3.42578125" style="34"/>
    <col min="8974" max="8974" width="6.42578125" style="34" customWidth="1"/>
    <col min="8975" max="8975" width="45" style="34" customWidth="1"/>
    <col min="8976" max="8976" width="31.85546875" style="34" customWidth="1"/>
    <col min="8977" max="8977" width="9.5703125" style="34" customWidth="1"/>
    <col min="8978" max="8978" width="17.5703125" style="34" customWidth="1"/>
    <col min="8979" max="8979" width="20.7109375" style="34" customWidth="1"/>
    <col min="8980" max="8980" width="23.28515625" style="34" customWidth="1"/>
    <col min="8981" max="8981" width="12.5703125" style="34" customWidth="1"/>
    <col min="8982" max="8982" width="16.140625" style="34" customWidth="1"/>
    <col min="8983" max="8983" width="21.85546875" style="34" customWidth="1"/>
    <col min="8984" max="8984" width="15.28515625" style="34" customWidth="1"/>
    <col min="8985" max="8985" width="17.85546875" style="34" customWidth="1"/>
    <col min="8986" max="8986" width="17.42578125" style="34" customWidth="1"/>
    <col min="8987" max="8987" width="12.85546875" style="34" customWidth="1"/>
    <col min="8988" max="8988" width="23.42578125" style="34" customWidth="1"/>
    <col min="8989" max="9216" width="3.42578125" style="34"/>
    <col min="9217" max="9217" width="18.42578125" style="34" customWidth="1"/>
    <col min="9218" max="9218" width="9.42578125" style="34" customWidth="1"/>
    <col min="9219" max="9219" width="11.42578125" style="34" customWidth="1"/>
    <col min="9220" max="9227" width="9.42578125" style="34" customWidth="1"/>
    <col min="9228" max="9229" width="3.42578125" style="34"/>
    <col min="9230" max="9230" width="6.42578125" style="34" customWidth="1"/>
    <col min="9231" max="9231" width="45" style="34" customWidth="1"/>
    <col min="9232" max="9232" width="31.85546875" style="34" customWidth="1"/>
    <col min="9233" max="9233" width="9.5703125" style="34" customWidth="1"/>
    <col min="9234" max="9234" width="17.5703125" style="34" customWidth="1"/>
    <col min="9235" max="9235" width="20.7109375" style="34" customWidth="1"/>
    <col min="9236" max="9236" width="23.28515625" style="34" customWidth="1"/>
    <col min="9237" max="9237" width="12.5703125" style="34" customWidth="1"/>
    <col min="9238" max="9238" width="16.140625" style="34" customWidth="1"/>
    <col min="9239" max="9239" width="21.85546875" style="34" customWidth="1"/>
    <col min="9240" max="9240" width="15.28515625" style="34" customWidth="1"/>
    <col min="9241" max="9241" width="17.85546875" style="34" customWidth="1"/>
    <col min="9242" max="9242" width="17.42578125" style="34" customWidth="1"/>
    <col min="9243" max="9243" width="12.85546875" style="34" customWidth="1"/>
    <col min="9244" max="9244" width="23.42578125" style="34" customWidth="1"/>
    <col min="9245" max="9472" width="3.42578125" style="34"/>
    <col min="9473" max="9473" width="18.42578125" style="34" customWidth="1"/>
    <col min="9474" max="9474" width="9.42578125" style="34" customWidth="1"/>
    <col min="9475" max="9475" width="11.42578125" style="34" customWidth="1"/>
    <col min="9476" max="9483" width="9.42578125" style="34" customWidth="1"/>
    <col min="9484" max="9485" width="3.42578125" style="34"/>
    <col min="9486" max="9486" width="6.42578125" style="34" customWidth="1"/>
    <col min="9487" max="9487" width="45" style="34" customWidth="1"/>
    <col min="9488" max="9488" width="31.85546875" style="34" customWidth="1"/>
    <col min="9489" max="9489" width="9.5703125" style="34" customWidth="1"/>
    <col min="9490" max="9490" width="17.5703125" style="34" customWidth="1"/>
    <col min="9491" max="9491" width="20.7109375" style="34" customWidth="1"/>
    <col min="9492" max="9492" width="23.28515625" style="34" customWidth="1"/>
    <col min="9493" max="9493" width="12.5703125" style="34" customWidth="1"/>
    <col min="9494" max="9494" width="16.140625" style="34" customWidth="1"/>
    <col min="9495" max="9495" width="21.85546875" style="34" customWidth="1"/>
    <col min="9496" max="9496" width="15.28515625" style="34" customWidth="1"/>
    <col min="9497" max="9497" width="17.85546875" style="34" customWidth="1"/>
    <col min="9498" max="9498" width="17.42578125" style="34" customWidth="1"/>
    <col min="9499" max="9499" width="12.85546875" style="34" customWidth="1"/>
    <col min="9500" max="9500" width="23.42578125" style="34" customWidth="1"/>
    <col min="9501" max="9728" width="3.42578125" style="34"/>
    <col min="9729" max="9729" width="18.42578125" style="34" customWidth="1"/>
    <col min="9730" max="9730" width="9.42578125" style="34" customWidth="1"/>
    <col min="9731" max="9731" width="11.42578125" style="34" customWidth="1"/>
    <col min="9732" max="9739" width="9.42578125" style="34" customWidth="1"/>
    <col min="9740" max="9741" width="3.42578125" style="34"/>
    <col min="9742" max="9742" width="6.42578125" style="34" customWidth="1"/>
    <col min="9743" max="9743" width="45" style="34" customWidth="1"/>
    <col min="9744" max="9744" width="31.85546875" style="34" customWidth="1"/>
    <col min="9745" max="9745" width="9.5703125" style="34" customWidth="1"/>
    <col min="9746" max="9746" width="17.5703125" style="34" customWidth="1"/>
    <col min="9747" max="9747" width="20.7109375" style="34" customWidth="1"/>
    <col min="9748" max="9748" width="23.28515625" style="34" customWidth="1"/>
    <col min="9749" max="9749" width="12.5703125" style="34" customWidth="1"/>
    <col min="9750" max="9750" width="16.140625" style="34" customWidth="1"/>
    <col min="9751" max="9751" width="21.85546875" style="34" customWidth="1"/>
    <col min="9752" max="9752" width="15.28515625" style="34" customWidth="1"/>
    <col min="9753" max="9753" width="17.85546875" style="34" customWidth="1"/>
    <col min="9754" max="9754" width="17.42578125" style="34" customWidth="1"/>
    <col min="9755" max="9755" width="12.85546875" style="34" customWidth="1"/>
    <col min="9756" max="9756" width="23.42578125" style="34" customWidth="1"/>
    <col min="9757" max="9984" width="3.42578125" style="34"/>
    <col min="9985" max="9985" width="18.42578125" style="34" customWidth="1"/>
    <col min="9986" max="9986" width="9.42578125" style="34" customWidth="1"/>
    <col min="9987" max="9987" width="11.42578125" style="34" customWidth="1"/>
    <col min="9988" max="9995" width="9.42578125" style="34" customWidth="1"/>
    <col min="9996" max="9997" width="3.42578125" style="34"/>
    <col min="9998" max="9998" width="6.42578125" style="34" customWidth="1"/>
    <col min="9999" max="9999" width="45" style="34" customWidth="1"/>
    <col min="10000" max="10000" width="31.85546875" style="34" customWidth="1"/>
    <col min="10001" max="10001" width="9.5703125" style="34" customWidth="1"/>
    <col min="10002" max="10002" width="17.5703125" style="34" customWidth="1"/>
    <col min="10003" max="10003" width="20.7109375" style="34" customWidth="1"/>
    <col min="10004" max="10004" width="23.28515625" style="34" customWidth="1"/>
    <col min="10005" max="10005" width="12.5703125" style="34" customWidth="1"/>
    <col min="10006" max="10006" width="16.140625" style="34" customWidth="1"/>
    <col min="10007" max="10007" width="21.85546875" style="34" customWidth="1"/>
    <col min="10008" max="10008" width="15.28515625" style="34" customWidth="1"/>
    <col min="10009" max="10009" width="17.85546875" style="34" customWidth="1"/>
    <col min="10010" max="10010" width="17.42578125" style="34" customWidth="1"/>
    <col min="10011" max="10011" width="12.85546875" style="34" customWidth="1"/>
    <col min="10012" max="10012" width="23.42578125" style="34" customWidth="1"/>
    <col min="10013" max="10240" width="3.42578125" style="34"/>
    <col min="10241" max="10241" width="18.42578125" style="34" customWidth="1"/>
    <col min="10242" max="10242" width="9.42578125" style="34" customWidth="1"/>
    <col min="10243" max="10243" width="11.42578125" style="34" customWidth="1"/>
    <col min="10244" max="10251" width="9.42578125" style="34" customWidth="1"/>
    <col min="10252" max="10253" width="3.42578125" style="34"/>
    <col min="10254" max="10254" width="6.42578125" style="34" customWidth="1"/>
    <col min="10255" max="10255" width="45" style="34" customWidth="1"/>
    <col min="10256" max="10256" width="31.85546875" style="34" customWidth="1"/>
    <col min="10257" max="10257" width="9.5703125" style="34" customWidth="1"/>
    <col min="10258" max="10258" width="17.5703125" style="34" customWidth="1"/>
    <col min="10259" max="10259" width="20.7109375" style="34" customWidth="1"/>
    <col min="10260" max="10260" width="23.28515625" style="34" customWidth="1"/>
    <col min="10261" max="10261" width="12.5703125" style="34" customWidth="1"/>
    <col min="10262" max="10262" width="16.140625" style="34" customWidth="1"/>
    <col min="10263" max="10263" width="21.85546875" style="34" customWidth="1"/>
    <col min="10264" max="10264" width="15.28515625" style="34" customWidth="1"/>
    <col min="10265" max="10265" width="17.85546875" style="34" customWidth="1"/>
    <col min="10266" max="10266" width="17.42578125" style="34" customWidth="1"/>
    <col min="10267" max="10267" width="12.85546875" style="34" customWidth="1"/>
    <col min="10268" max="10268" width="23.42578125" style="34" customWidth="1"/>
    <col min="10269" max="10496" width="3.42578125" style="34"/>
    <col min="10497" max="10497" width="18.42578125" style="34" customWidth="1"/>
    <col min="10498" max="10498" width="9.42578125" style="34" customWidth="1"/>
    <col min="10499" max="10499" width="11.42578125" style="34" customWidth="1"/>
    <col min="10500" max="10507" width="9.42578125" style="34" customWidth="1"/>
    <col min="10508" max="10509" width="3.42578125" style="34"/>
    <col min="10510" max="10510" width="6.42578125" style="34" customWidth="1"/>
    <col min="10511" max="10511" width="45" style="34" customWidth="1"/>
    <col min="10512" max="10512" width="31.85546875" style="34" customWidth="1"/>
    <col min="10513" max="10513" width="9.5703125" style="34" customWidth="1"/>
    <col min="10514" max="10514" width="17.5703125" style="34" customWidth="1"/>
    <col min="10515" max="10515" width="20.7109375" style="34" customWidth="1"/>
    <col min="10516" max="10516" width="23.28515625" style="34" customWidth="1"/>
    <col min="10517" max="10517" width="12.5703125" style="34" customWidth="1"/>
    <col min="10518" max="10518" width="16.140625" style="34" customWidth="1"/>
    <col min="10519" max="10519" width="21.85546875" style="34" customWidth="1"/>
    <col min="10520" max="10520" width="15.28515625" style="34" customWidth="1"/>
    <col min="10521" max="10521" width="17.85546875" style="34" customWidth="1"/>
    <col min="10522" max="10522" width="17.42578125" style="34" customWidth="1"/>
    <col min="10523" max="10523" width="12.85546875" style="34" customWidth="1"/>
    <col min="10524" max="10524" width="23.42578125" style="34" customWidth="1"/>
    <col min="10525" max="10752" width="3.42578125" style="34"/>
    <col min="10753" max="10753" width="18.42578125" style="34" customWidth="1"/>
    <col min="10754" max="10754" width="9.42578125" style="34" customWidth="1"/>
    <col min="10755" max="10755" width="11.42578125" style="34" customWidth="1"/>
    <col min="10756" max="10763" width="9.42578125" style="34" customWidth="1"/>
    <col min="10764" max="10765" width="3.42578125" style="34"/>
    <col min="10766" max="10766" width="6.42578125" style="34" customWidth="1"/>
    <col min="10767" max="10767" width="45" style="34" customWidth="1"/>
    <col min="10768" max="10768" width="31.85546875" style="34" customWidth="1"/>
    <col min="10769" max="10769" width="9.5703125" style="34" customWidth="1"/>
    <col min="10770" max="10770" width="17.5703125" style="34" customWidth="1"/>
    <col min="10771" max="10771" width="20.7109375" style="34" customWidth="1"/>
    <col min="10772" max="10772" width="23.28515625" style="34" customWidth="1"/>
    <col min="10773" max="10773" width="12.5703125" style="34" customWidth="1"/>
    <col min="10774" max="10774" width="16.140625" style="34" customWidth="1"/>
    <col min="10775" max="10775" width="21.85546875" style="34" customWidth="1"/>
    <col min="10776" max="10776" width="15.28515625" style="34" customWidth="1"/>
    <col min="10777" max="10777" width="17.85546875" style="34" customWidth="1"/>
    <col min="10778" max="10778" width="17.42578125" style="34" customWidth="1"/>
    <col min="10779" max="10779" width="12.85546875" style="34" customWidth="1"/>
    <col min="10780" max="10780" width="23.42578125" style="34" customWidth="1"/>
    <col min="10781" max="11008" width="3.42578125" style="34"/>
    <col min="11009" max="11009" width="18.42578125" style="34" customWidth="1"/>
    <col min="11010" max="11010" width="9.42578125" style="34" customWidth="1"/>
    <col min="11011" max="11011" width="11.42578125" style="34" customWidth="1"/>
    <col min="11012" max="11019" width="9.42578125" style="34" customWidth="1"/>
    <col min="11020" max="11021" width="3.42578125" style="34"/>
    <col min="11022" max="11022" width="6.42578125" style="34" customWidth="1"/>
    <col min="11023" max="11023" width="45" style="34" customWidth="1"/>
    <col min="11024" max="11024" width="31.85546875" style="34" customWidth="1"/>
    <col min="11025" max="11025" width="9.5703125" style="34" customWidth="1"/>
    <col min="11026" max="11026" width="17.5703125" style="34" customWidth="1"/>
    <col min="11027" max="11027" width="20.7109375" style="34" customWidth="1"/>
    <col min="11028" max="11028" width="23.28515625" style="34" customWidth="1"/>
    <col min="11029" max="11029" width="12.5703125" style="34" customWidth="1"/>
    <col min="11030" max="11030" width="16.140625" style="34" customWidth="1"/>
    <col min="11031" max="11031" width="21.85546875" style="34" customWidth="1"/>
    <col min="11032" max="11032" width="15.28515625" style="34" customWidth="1"/>
    <col min="11033" max="11033" width="17.85546875" style="34" customWidth="1"/>
    <col min="11034" max="11034" width="17.42578125" style="34" customWidth="1"/>
    <col min="11035" max="11035" width="12.85546875" style="34" customWidth="1"/>
    <col min="11036" max="11036" width="23.42578125" style="34" customWidth="1"/>
    <col min="11037" max="11264" width="3.42578125" style="34"/>
    <col min="11265" max="11265" width="18.42578125" style="34" customWidth="1"/>
    <col min="11266" max="11266" width="9.42578125" style="34" customWidth="1"/>
    <col min="11267" max="11267" width="11.42578125" style="34" customWidth="1"/>
    <col min="11268" max="11275" width="9.42578125" style="34" customWidth="1"/>
    <col min="11276" max="11277" width="3.42578125" style="34"/>
    <col min="11278" max="11278" width="6.42578125" style="34" customWidth="1"/>
    <col min="11279" max="11279" width="45" style="34" customWidth="1"/>
    <col min="11280" max="11280" width="31.85546875" style="34" customWidth="1"/>
    <col min="11281" max="11281" width="9.5703125" style="34" customWidth="1"/>
    <col min="11282" max="11282" width="17.5703125" style="34" customWidth="1"/>
    <col min="11283" max="11283" width="20.7109375" style="34" customWidth="1"/>
    <col min="11284" max="11284" width="23.28515625" style="34" customWidth="1"/>
    <col min="11285" max="11285" width="12.5703125" style="34" customWidth="1"/>
    <col min="11286" max="11286" width="16.140625" style="34" customWidth="1"/>
    <col min="11287" max="11287" width="21.85546875" style="34" customWidth="1"/>
    <col min="11288" max="11288" width="15.28515625" style="34" customWidth="1"/>
    <col min="11289" max="11289" width="17.85546875" style="34" customWidth="1"/>
    <col min="11290" max="11290" width="17.42578125" style="34" customWidth="1"/>
    <col min="11291" max="11291" width="12.85546875" style="34" customWidth="1"/>
    <col min="11292" max="11292" width="23.42578125" style="34" customWidth="1"/>
    <col min="11293" max="11520" width="3.42578125" style="34"/>
    <col min="11521" max="11521" width="18.42578125" style="34" customWidth="1"/>
    <col min="11522" max="11522" width="9.42578125" style="34" customWidth="1"/>
    <col min="11523" max="11523" width="11.42578125" style="34" customWidth="1"/>
    <col min="11524" max="11531" width="9.42578125" style="34" customWidth="1"/>
    <col min="11532" max="11533" width="3.42578125" style="34"/>
    <col min="11534" max="11534" width="6.42578125" style="34" customWidth="1"/>
    <col min="11535" max="11535" width="45" style="34" customWidth="1"/>
    <col min="11536" max="11536" width="31.85546875" style="34" customWidth="1"/>
    <col min="11537" max="11537" width="9.5703125" style="34" customWidth="1"/>
    <col min="11538" max="11538" width="17.5703125" style="34" customWidth="1"/>
    <col min="11539" max="11539" width="20.7109375" style="34" customWidth="1"/>
    <col min="11540" max="11540" width="23.28515625" style="34" customWidth="1"/>
    <col min="11541" max="11541" width="12.5703125" style="34" customWidth="1"/>
    <col min="11542" max="11542" width="16.140625" style="34" customWidth="1"/>
    <col min="11543" max="11543" width="21.85546875" style="34" customWidth="1"/>
    <col min="11544" max="11544" width="15.28515625" style="34" customWidth="1"/>
    <col min="11545" max="11545" width="17.85546875" style="34" customWidth="1"/>
    <col min="11546" max="11546" width="17.42578125" style="34" customWidth="1"/>
    <col min="11547" max="11547" width="12.85546875" style="34" customWidth="1"/>
    <col min="11548" max="11548" width="23.42578125" style="34" customWidth="1"/>
    <col min="11549" max="11776" width="3.42578125" style="34"/>
    <col min="11777" max="11777" width="18.42578125" style="34" customWidth="1"/>
    <col min="11778" max="11778" width="9.42578125" style="34" customWidth="1"/>
    <col min="11779" max="11779" width="11.42578125" style="34" customWidth="1"/>
    <col min="11780" max="11787" width="9.42578125" style="34" customWidth="1"/>
    <col min="11788" max="11789" width="3.42578125" style="34"/>
    <col min="11790" max="11790" width="6.42578125" style="34" customWidth="1"/>
    <col min="11791" max="11791" width="45" style="34" customWidth="1"/>
    <col min="11792" max="11792" width="31.85546875" style="34" customWidth="1"/>
    <col min="11793" max="11793" width="9.5703125" style="34" customWidth="1"/>
    <col min="11794" max="11794" width="17.5703125" style="34" customWidth="1"/>
    <col min="11795" max="11795" width="20.7109375" style="34" customWidth="1"/>
    <col min="11796" max="11796" width="23.28515625" style="34" customWidth="1"/>
    <col min="11797" max="11797" width="12.5703125" style="34" customWidth="1"/>
    <col min="11798" max="11798" width="16.140625" style="34" customWidth="1"/>
    <col min="11799" max="11799" width="21.85546875" style="34" customWidth="1"/>
    <col min="11800" max="11800" width="15.28515625" style="34" customWidth="1"/>
    <col min="11801" max="11801" width="17.85546875" style="34" customWidth="1"/>
    <col min="11802" max="11802" width="17.42578125" style="34" customWidth="1"/>
    <col min="11803" max="11803" width="12.85546875" style="34" customWidth="1"/>
    <col min="11804" max="11804" width="23.42578125" style="34" customWidth="1"/>
    <col min="11805" max="12032" width="3.42578125" style="34"/>
    <col min="12033" max="12033" width="18.42578125" style="34" customWidth="1"/>
    <col min="12034" max="12034" width="9.42578125" style="34" customWidth="1"/>
    <col min="12035" max="12035" width="11.42578125" style="34" customWidth="1"/>
    <col min="12036" max="12043" width="9.42578125" style="34" customWidth="1"/>
    <col min="12044" max="12045" width="3.42578125" style="34"/>
    <col min="12046" max="12046" width="6.42578125" style="34" customWidth="1"/>
    <col min="12047" max="12047" width="45" style="34" customWidth="1"/>
    <col min="12048" max="12048" width="31.85546875" style="34" customWidth="1"/>
    <col min="12049" max="12049" width="9.5703125" style="34" customWidth="1"/>
    <col min="12050" max="12050" width="17.5703125" style="34" customWidth="1"/>
    <col min="12051" max="12051" width="20.7109375" style="34" customWidth="1"/>
    <col min="12052" max="12052" width="23.28515625" style="34" customWidth="1"/>
    <col min="12053" max="12053" width="12.5703125" style="34" customWidth="1"/>
    <col min="12054" max="12054" width="16.140625" style="34" customWidth="1"/>
    <col min="12055" max="12055" width="21.85546875" style="34" customWidth="1"/>
    <col min="12056" max="12056" width="15.28515625" style="34" customWidth="1"/>
    <col min="12057" max="12057" width="17.85546875" style="34" customWidth="1"/>
    <col min="12058" max="12058" width="17.42578125" style="34" customWidth="1"/>
    <col min="12059" max="12059" width="12.85546875" style="34" customWidth="1"/>
    <col min="12060" max="12060" width="23.42578125" style="34" customWidth="1"/>
    <col min="12061" max="12288" width="3.42578125" style="34"/>
    <col min="12289" max="12289" width="18.42578125" style="34" customWidth="1"/>
    <col min="12290" max="12290" width="9.42578125" style="34" customWidth="1"/>
    <col min="12291" max="12291" width="11.42578125" style="34" customWidth="1"/>
    <col min="12292" max="12299" width="9.42578125" style="34" customWidth="1"/>
    <col min="12300" max="12301" width="3.42578125" style="34"/>
    <col min="12302" max="12302" width="6.42578125" style="34" customWidth="1"/>
    <col min="12303" max="12303" width="45" style="34" customWidth="1"/>
    <col min="12304" max="12304" width="31.85546875" style="34" customWidth="1"/>
    <col min="12305" max="12305" width="9.5703125" style="34" customWidth="1"/>
    <col min="12306" max="12306" width="17.5703125" style="34" customWidth="1"/>
    <col min="12307" max="12307" width="20.7109375" style="34" customWidth="1"/>
    <col min="12308" max="12308" width="23.28515625" style="34" customWidth="1"/>
    <col min="12309" max="12309" width="12.5703125" style="34" customWidth="1"/>
    <col min="12310" max="12310" width="16.140625" style="34" customWidth="1"/>
    <col min="12311" max="12311" width="21.85546875" style="34" customWidth="1"/>
    <col min="12312" max="12312" width="15.28515625" style="34" customWidth="1"/>
    <col min="12313" max="12313" width="17.85546875" style="34" customWidth="1"/>
    <col min="12314" max="12314" width="17.42578125" style="34" customWidth="1"/>
    <col min="12315" max="12315" width="12.85546875" style="34" customWidth="1"/>
    <col min="12316" max="12316" width="23.42578125" style="34" customWidth="1"/>
    <col min="12317" max="12544" width="3.42578125" style="34"/>
    <col min="12545" max="12545" width="18.42578125" style="34" customWidth="1"/>
    <col min="12546" max="12546" width="9.42578125" style="34" customWidth="1"/>
    <col min="12547" max="12547" width="11.42578125" style="34" customWidth="1"/>
    <col min="12548" max="12555" width="9.42578125" style="34" customWidth="1"/>
    <col min="12556" max="12557" width="3.42578125" style="34"/>
    <col min="12558" max="12558" width="6.42578125" style="34" customWidth="1"/>
    <col min="12559" max="12559" width="45" style="34" customWidth="1"/>
    <col min="12560" max="12560" width="31.85546875" style="34" customWidth="1"/>
    <col min="12561" max="12561" width="9.5703125" style="34" customWidth="1"/>
    <col min="12562" max="12562" width="17.5703125" style="34" customWidth="1"/>
    <col min="12563" max="12563" width="20.7109375" style="34" customWidth="1"/>
    <col min="12564" max="12564" width="23.28515625" style="34" customWidth="1"/>
    <col min="12565" max="12565" width="12.5703125" style="34" customWidth="1"/>
    <col min="12566" max="12566" width="16.140625" style="34" customWidth="1"/>
    <col min="12567" max="12567" width="21.85546875" style="34" customWidth="1"/>
    <col min="12568" max="12568" width="15.28515625" style="34" customWidth="1"/>
    <col min="12569" max="12569" width="17.85546875" style="34" customWidth="1"/>
    <col min="12570" max="12570" width="17.42578125" style="34" customWidth="1"/>
    <col min="12571" max="12571" width="12.85546875" style="34" customWidth="1"/>
    <col min="12572" max="12572" width="23.42578125" style="34" customWidth="1"/>
    <col min="12573" max="12800" width="3.42578125" style="34"/>
    <col min="12801" max="12801" width="18.42578125" style="34" customWidth="1"/>
    <col min="12802" max="12802" width="9.42578125" style="34" customWidth="1"/>
    <col min="12803" max="12803" width="11.42578125" style="34" customWidth="1"/>
    <col min="12804" max="12811" width="9.42578125" style="34" customWidth="1"/>
    <col min="12812" max="12813" width="3.42578125" style="34"/>
    <col min="12814" max="12814" width="6.42578125" style="34" customWidth="1"/>
    <col min="12815" max="12815" width="45" style="34" customWidth="1"/>
    <col min="12816" max="12816" width="31.85546875" style="34" customWidth="1"/>
    <col min="12817" max="12817" width="9.5703125" style="34" customWidth="1"/>
    <col min="12818" max="12818" width="17.5703125" style="34" customWidth="1"/>
    <col min="12819" max="12819" width="20.7109375" style="34" customWidth="1"/>
    <col min="12820" max="12820" width="23.28515625" style="34" customWidth="1"/>
    <col min="12821" max="12821" width="12.5703125" style="34" customWidth="1"/>
    <col min="12822" max="12822" width="16.140625" style="34" customWidth="1"/>
    <col min="12823" max="12823" width="21.85546875" style="34" customWidth="1"/>
    <col min="12824" max="12824" width="15.28515625" style="34" customWidth="1"/>
    <col min="12825" max="12825" width="17.85546875" style="34" customWidth="1"/>
    <col min="12826" max="12826" width="17.42578125" style="34" customWidth="1"/>
    <col min="12827" max="12827" width="12.85546875" style="34" customWidth="1"/>
    <col min="12828" max="12828" width="23.42578125" style="34" customWidth="1"/>
    <col min="12829" max="13056" width="3.42578125" style="34"/>
    <col min="13057" max="13057" width="18.42578125" style="34" customWidth="1"/>
    <col min="13058" max="13058" width="9.42578125" style="34" customWidth="1"/>
    <col min="13059" max="13059" width="11.42578125" style="34" customWidth="1"/>
    <col min="13060" max="13067" width="9.42578125" style="34" customWidth="1"/>
    <col min="13068" max="13069" width="3.42578125" style="34"/>
    <col min="13070" max="13070" width="6.42578125" style="34" customWidth="1"/>
    <col min="13071" max="13071" width="45" style="34" customWidth="1"/>
    <col min="13072" max="13072" width="31.85546875" style="34" customWidth="1"/>
    <col min="13073" max="13073" width="9.5703125" style="34" customWidth="1"/>
    <col min="13074" max="13074" width="17.5703125" style="34" customWidth="1"/>
    <col min="13075" max="13075" width="20.7109375" style="34" customWidth="1"/>
    <col min="13076" max="13076" width="23.28515625" style="34" customWidth="1"/>
    <col min="13077" max="13077" width="12.5703125" style="34" customWidth="1"/>
    <col min="13078" max="13078" width="16.140625" style="34" customWidth="1"/>
    <col min="13079" max="13079" width="21.85546875" style="34" customWidth="1"/>
    <col min="13080" max="13080" width="15.28515625" style="34" customWidth="1"/>
    <col min="13081" max="13081" width="17.85546875" style="34" customWidth="1"/>
    <col min="13082" max="13082" width="17.42578125" style="34" customWidth="1"/>
    <col min="13083" max="13083" width="12.85546875" style="34" customWidth="1"/>
    <col min="13084" max="13084" width="23.42578125" style="34" customWidth="1"/>
    <col min="13085" max="13312" width="3.42578125" style="34"/>
    <col min="13313" max="13313" width="18.42578125" style="34" customWidth="1"/>
    <col min="13314" max="13314" width="9.42578125" style="34" customWidth="1"/>
    <col min="13315" max="13315" width="11.42578125" style="34" customWidth="1"/>
    <col min="13316" max="13323" width="9.42578125" style="34" customWidth="1"/>
    <col min="13324" max="13325" width="3.42578125" style="34"/>
    <col min="13326" max="13326" width="6.42578125" style="34" customWidth="1"/>
    <col min="13327" max="13327" width="45" style="34" customWidth="1"/>
    <col min="13328" max="13328" width="31.85546875" style="34" customWidth="1"/>
    <col min="13329" max="13329" width="9.5703125" style="34" customWidth="1"/>
    <col min="13330" max="13330" width="17.5703125" style="34" customWidth="1"/>
    <col min="13331" max="13331" width="20.7109375" style="34" customWidth="1"/>
    <col min="13332" max="13332" width="23.28515625" style="34" customWidth="1"/>
    <col min="13333" max="13333" width="12.5703125" style="34" customWidth="1"/>
    <col min="13334" max="13334" width="16.140625" style="34" customWidth="1"/>
    <col min="13335" max="13335" width="21.85546875" style="34" customWidth="1"/>
    <col min="13336" max="13336" width="15.28515625" style="34" customWidth="1"/>
    <col min="13337" max="13337" width="17.85546875" style="34" customWidth="1"/>
    <col min="13338" max="13338" width="17.42578125" style="34" customWidth="1"/>
    <col min="13339" max="13339" width="12.85546875" style="34" customWidth="1"/>
    <col min="13340" max="13340" width="23.42578125" style="34" customWidth="1"/>
    <col min="13341" max="13568" width="3.42578125" style="34"/>
    <col min="13569" max="13569" width="18.42578125" style="34" customWidth="1"/>
    <col min="13570" max="13570" width="9.42578125" style="34" customWidth="1"/>
    <col min="13571" max="13571" width="11.42578125" style="34" customWidth="1"/>
    <col min="13572" max="13579" width="9.42578125" style="34" customWidth="1"/>
    <col min="13580" max="13581" width="3.42578125" style="34"/>
    <col min="13582" max="13582" width="6.42578125" style="34" customWidth="1"/>
    <col min="13583" max="13583" width="45" style="34" customWidth="1"/>
    <col min="13584" max="13584" width="31.85546875" style="34" customWidth="1"/>
    <col min="13585" max="13585" width="9.5703125" style="34" customWidth="1"/>
    <col min="13586" max="13586" width="17.5703125" style="34" customWidth="1"/>
    <col min="13587" max="13587" width="20.7109375" style="34" customWidth="1"/>
    <col min="13588" max="13588" width="23.28515625" style="34" customWidth="1"/>
    <col min="13589" max="13589" width="12.5703125" style="34" customWidth="1"/>
    <col min="13590" max="13590" width="16.140625" style="34" customWidth="1"/>
    <col min="13591" max="13591" width="21.85546875" style="34" customWidth="1"/>
    <col min="13592" max="13592" width="15.28515625" style="34" customWidth="1"/>
    <col min="13593" max="13593" width="17.85546875" style="34" customWidth="1"/>
    <col min="13594" max="13594" width="17.42578125" style="34" customWidth="1"/>
    <col min="13595" max="13595" width="12.85546875" style="34" customWidth="1"/>
    <col min="13596" max="13596" width="23.42578125" style="34" customWidth="1"/>
    <col min="13597" max="13824" width="3.42578125" style="34"/>
    <col min="13825" max="13825" width="18.42578125" style="34" customWidth="1"/>
    <col min="13826" max="13826" width="9.42578125" style="34" customWidth="1"/>
    <col min="13827" max="13827" width="11.42578125" style="34" customWidth="1"/>
    <col min="13828" max="13835" width="9.42578125" style="34" customWidth="1"/>
    <col min="13836" max="13837" width="3.42578125" style="34"/>
    <col min="13838" max="13838" width="6.42578125" style="34" customWidth="1"/>
    <col min="13839" max="13839" width="45" style="34" customWidth="1"/>
    <col min="13840" max="13840" width="31.85546875" style="34" customWidth="1"/>
    <col min="13841" max="13841" width="9.5703125" style="34" customWidth="1"/>
    <col min="13842" max="13842" width="17.5703125" style="34" customWidth="1"/>
    <col min="13843" max="13843" width="20.7109375" style="34" customWidth="1"/>
    <col min="13844" max="13844" width="23.28515625" style="34" customWidth="1"/>
    <col min="13845" max="13845" width="12.5703125" style="34" customWidth="1"/>
    <col min="13846" max="13846" width="16.140625" style="34" customWidth="1"/>
    <col min="13847" max="13847" width="21.85546875" style="34" customWidth="1"/>
    <col min="13848" max="13848" width="15.28515625" style="34" customWidth="1"/>
    <col min="13849" max="13849" width="17.85546875" style="34" customWidth="1"/>
    <col min="13850" max="13850" width="17.42578125" style="34" customWidth="1"/>
    <col min="13851" max="13851" width="12.85546875" style="34" customWidth="1"/>
    <col min="13852" max="13852" width="23.42578125" style="34" customWidth="1"/>
    <col min="13853" max="14080" width="3.42578125" style="34"/>
    <col min="14081" max="14081" width="18.42578125" style="34" customWidth="1"/>
    <col min="14082" max="14082" width="9.42578125" style="34" customWidth="1"/>
    <col min="14083" max="14083" width="11.42578125" style="34" customWidth="1"/>
    <col min="14084" max="14091" width="9.42578125" style="34" customWidth="1"/>
    <col min="14092" max="14093" width="3.42578125" style="34"/>
    <col min="14094" max="14094" width="6.42578125" style="34" customWidth="1"/>
    <col min="14095" max="14095" width="45" style="34" customWidth="1"/>
    <col min="14096" max="14096" width="31.85546875" style="34" customWidth="1"/>
    <col min="14097" max="14097" width="9.5703125" style="34" customWidth="1"/>
    <col min="14098" max="14098" width="17.5703125" style="34" customWidth="1"/>
    <col min="14099" max="14099" width="20.7109375" style="34" customWidth="1"/>
    <col min="14100" max="14100" width="23.28515625" style="34" customWidth="1"/>
    <col min="14101" max="14101" width="12.5703125" style="34" customWidth="1"/>
    <col min="14102" max="14102" width="16.140625" style="34" customWidth="1"/>
    <col min="14103" max="14103" width="21.85546875" style="34" customWidth="1"/>
    <col min="14104" max="14104" width="15.28515625" style="34" customWidth="1"/>
    <col min="14105" max="14105" width="17.85546875" style="34" customWidth="1"/>
    <col min="14106" max="14106" width="17.42578125" style="34" customWidth="1"/>
    <col min="14107" max="14107" width="12.85546875" style="34" customWidth="1"/>
    <col min="14108" max="14108" width="23.42578125" style="34" customWidth="1"/>
    <col min="14109" max="14336" width="3.42578125" style="34"/>
    <col min="14337" max="14337" width="18.42578125" style="34" customWidth="1"/>
    <col min="14338" max="14338" width="9.42578125" style="34" customWidth="1"/>
    <col min="14339" max="14339" width="11.42578125" style="34" customWidth="1"/>
    <col min="14340" max="14347" width="9.42578125" style="34" customWidth="1"/>
    <col min="14348" max="14349" width="3.42578125" style="34"/>
    <col min="14350" max="14350" width="6.42578125" style="34" customWidth="1"/>
    <col min="14351" max="14351" width="45" style="34" customWidth="1"/>
    <col min="14352" max="14352" width="31.85546875" style="34" customWidth="1"/>
    <col min="14353" max="14353" width="9.5703125" style="34" customWidth="1"/>
    <col min="14354" max="14354" width="17.5703125" style="34" customWidth="1"/>
    <col min="14355" max="14355" width="20.7109375" style="34" customWidth="1"/>
    <col min="14356" max="14356" width="23.28515625" style="34" customWidth="1"/>
    <col min="14357" max="14357" width="12.5703125" style="34" customWidth="1"/>
    <col min="14358" max="14358" width="16.140625" style="34" customWidth="1"/>
    <col min="14359" max="14359" width="21.85546875" style="34" customWidth="1"/>
    <col min="14360" max="14360" width="15.28515625" style="34" customWidth="1"/>
    <col min="14361" max="14361" width="17.85546875" style="34" customWidth="1"/>
    <col min="14362" max="14362" width="17.42578125" style="34" customWidth="1"/>
    <col min="14363" max="14363" width="12.85546875" style="34" customWidth="1"/>
    <col min="14364" max="14364" width="23.42578125" style="34" customWidth="1"/>
    <col min="14365" max="14592" width="3.42578125" style="34"/>
    <col min="14593" max="14593" width="18.42578125" style="34" customWidth="1"/>
    <col min="14594" max="14594" width="9.42578125" style="34" customWidth="1"/>
    <col min="14595" max="14595" width="11.42578125" style="34" customWidth="1"/>
    <col min="14596" max="14603" width="9.42578125" style="34" customWidth="1"/>
    <col min="14604" max="14605" width="3.42578125" style="34"/>
    <col min="14606" max="14606" width="6.42578125" style="34" customWidth="1"/>
    <col min="14607" max="14607" width="45" style="34" customWidth="1"/>
    <col min="14608" max="14608" width="31.85546875" style="34" customWidth="1"/>
    <col min="14609" max="14609" width="9.5703125" style="34" customWidth="1"/>
    <col min="14610" max="14610" width="17.5703125" style="34" customWidth="1"/>
    <col min="14611" max="14611" width="20.7109375" style="34" customWidth="1"/>
    <col min="14612" max="14612" width="23.28515625" style="34" customWidth="1"/>
    <col min="14613" max="14613" width="12.5703125" style="34" customWidth="1"/>
    <col min="14614" max="14614" width="16.140625" style="34" customWidth="1"/>
    <col min="14615" max="14615" width="21.85546875" style="34" customWidth="1"/>
    <col min="14616" max="14616" width="15.28515625" style="34" customWidth="1"/>
    <col min="14617" max="14617" width="17.85546875" style="34" customWidth="1"/>
    <col min="14618" max="14618" width="17.42578125" style="34" customWidth="1"/>
    <col min="14619" max="14619" width="12.85546875" style="34" customWidth="1"/>
    <col min="14620" max="14620" width="23.42578125" style="34" customWidth="1"/>
    <col min="14621" max="14848" width="3.42578125" style="34"/>
    <col min="14849" max="14849" width="18.42578125" style="34" customWidth="1"/>
    <col min="14850" max="14850" width="9.42578125" style="34" customWidth="1"/>
    <col min="14851" max="14851" width="11.42578125" style="34" customWidth="1"/>
    <col min="14852" max="14859" width="9.42578125" style="34" customWidth="1"/>
    <col min="14860" max="14861" width="3.42578125" style="34"/>
    <col min="14862" max="14862" width="6.42578125" style="34" customWidth="1"/>
    <col min="14863" max="14863" width="45" style="34" customWidth="1"/>
    <col min="14864" max="14864" width="31.85546875" style="34" customWidth="1"/>
    <col min="14865" max="14865" width="9.5703125" style="34" customWidth="1"/>
    <col min="14866" max="14866" width="17.5703125" style="34" customWidth="1"/>
    <col min="14867" max="14867" width="20.7109375" style="34" customWidth="1"/>
    <col min="14868" max="14868" width="23.28515625" style="34" customWidth="1"/>
    <col min="14869" max="14869" width="12.5703125" style="34" customWidth="1"/>
    <col min="14870" max="14870" width="16.140625" style="34" customWidth="1"/>
    <col min="14871" max="14871" width="21.85546875" style="34" customWidth="1"/>
    <col min="14872" max="14872" width="15.28515625" style="34" customWidth="1"/>
    <col min="14873" max="14873" width="17.85546875" style="34" customWidth="1"/>
    <col min="14874" max="14874" width="17.42578125" style="34" customWidth="1"/>
    <col min="14875" max="14875" width="12.85546875" style="34" customWidth="1"/>
    <col min="14876" max="14876" width="23.42578125" style="34" customWidth="1"/>
    <col min="14877" max="15104" width="3.42578125" style="34"/>
    <col min="15105" max="15105" width="18.42578125" style="34" customWidth="1"/>
    <col min="15106" max="15106" width="9.42578125" style="34" customWidth="1"/>
    <col min="15107" max="15107" width="11.42578125" style="34" customWidth="1"/>
    <col min="15108" max="15115" width="9.42578125" style="34" customWidth="1"/>
    <col min="15116" max="15117" width="3.42578125" style="34"/>
    <col min="15118" max="15118" width="6.42578125" style="34" customWidth="1"/>
    <col min="15119" max="15119" width="45" style="34" customWidth="1"/>
    <col min="15120" max="15120" width="31.85546875" style="34" customWidth="1"/>
    <col min="15121" max="15121" width="9.5703125" style="34" customWidth="1"/>
    <col min="15122" max="15122" width="17.5703125" style="34" customWidth="1"/>
    <col min="15123" max="15123" width="20.7109375" style="34" customWidth="1"/>
    <col min="15124" max="15124" width="23.28515625" style="34" customWidth="1"/>
    <col min="15125" max="15125" width="12.5703125" style="34" customWidth="1"/>
    <col min="15126" max="15126" width="16.140625" style="34" customWidth="1"/>
    <col min="15127" max="15127" width="21.85546875" style="34" customWidth="1"/>
    <col min="15128" max="15128" width="15.28515625" style="34" customWidth="1"/>
    <col min="15129" max="15129" width="17.85546875" style="34" customWidth="1"/>
    <col min="15130" max="15130" width="17.42578125" style="34" customWidth="1"/>
    <col min="15131" max="15131" width="12.85546875" style="34" customWidth="1"/>
    <col min="15132" max="15132" width="23.42578125" style="34" customWidth="1"/>
    <col min="15133" max="15360" width="3.42578125" style="34"/>
    <col min="15361" max="15361" width="18.42578125" style="34" customWidth="1"/>
    <col min="15362" max="15362" width="9.42578125" style="34" customWidth="1"/>
    <col min="15363" max="15363" width="11.42578125" style="34" customWidth="1"/>
    <col min="15364" max="15371" width="9.42578125" style="34" customWidth="1"/>
    <col min="15372" max="15373" width="3.42578125" style="34"/>
    <col min="15374" max="15374" width="6.42578125" style="34" customWidth="1"/>
    <col min="15375" max="15375" width="45" style="34" customWidth="1"/>
    <col min="15376" max="15376" width="31.85546875" style="34" customWidth="1"/>
    <col min="15377" max="15377" width="9.5703125" style="34" customWidth="1"/>
    <col min="15378" max="15378" width="17.5703125" style="34" customWidth="1"/>
    <col min="15379" max="15379" width="20.7109375" style="34" customWidth="1"/>
    <col min="15380" max="15380" width="23.28515625" style="34" customWidth="1"/>
    <col min="15381" max="15381" width="12.5703125" style="34" customWidth="1"/>
    <col min="15382" max="15382" width="16.140625" style="34" customWidth="1"/>
    <col min="15383" max="15383" width="21.85546875" style="34" customWidth="1"/>
    <col min="15384" max="15384" width="15.28515625" style="34" customWidth="1"/>
    <col min="15385" max="15385" width="17.85546875" style="34" customWidth="1"/>
    <col min="15386" max="15386" width="17.42578125" style="34" customWidth="1"/>
    <col min="15387" max="15387" width="12.85546875" style="34" customWidth="1"/>
    <col min="15388" max="15388" width="23.42578125" style="34" customWidth="1"/>
    <col min="15389" max="15616" width="3.42578125" style="34"/>
    <col min="15617" max="15617" width="18.42578125" style="34" customWidth="1"/>
    <col min="15618" max="15618" width="9.42578125" style="34" customWidth="1"/>
    <col min="15619" max="15619" width="11.42578125" style="34" customWidth="1"/>
    <col min="15620" max="15627" width="9.42578125" style="34" customWidth="1"/>
    <col min="15628" max="15629" width="3.42578125" style="34"/>
    <col min="15630" max="15630" width="6.42578125" style="34" customWidth="1"/>
    <col min="15631" max="15631" width="45" style="34" customWidth="1"/>
    <col min="15632" max="15632" width="31.85546875" style="34" customWidth="1"/>
    <col min="15633" max="15633" width="9.5703125" style="34" customWidth="1"/>
    <col min="15634" max="15634" width="17.5703125" style="34" customWidth="1"/>
    <col min="15635" max="15635" width="20.7109375" style="34" customWidth="1"/>
    <col min="15636" max="15636" width="23.28515625" style="34" customWidth="1"/>
    <col min="15637" max="15637" width="12.5703125" style="34" customWidth="1"/>
    <col min="15638" max="15638" width="16.140625" style="34" customWidth="1"/>
    <col min="15639" max="15639" width="21.85546875" style="34" customWidth="1"/>
    <col min="15640" max="15640" width="15.28515625" style="34" customWidth="1"/>
    <col min="15641" max="15641" width="17.85546875" style="34" customWidth="1"/>
    <col min="15642" max="15642" width="17.42578125" style="34" customWidth="1"/>
    <col min="15643" max="15643" width="12.85546875" style="34" customWidth="1"/>
    <col min="15644" max="15644" width="23.42578125" style="34" customWidth="1"/>
    <col min="15645" max="15872" width="3.42578125" style="34"/>
    <col min="15873" max="15873" width="18.42578125" style="34" customWidth="1"/>
    <col min="15874" max="15874" width="9.42578125" style="34" customWidth="1"/>
    <col min="15875" max="15875" width="11.42578125" style="34" customWidth="1"/>
    <col min="15876" max="15883" width="9.42578125" style="34" customWidth="1"/>
    <col min="15884" max="15885" width="3.42578125" style="34"/>
    <col min="15886" max="15886" width="6.42578125" style="34" customWidth="1"/>
    <col min="15887" max="15887" width="45" style="34" customWidth="1"/>
    <col min="15888" max="15888" width="31.85546875" style="34" customWidth="1"/>
    <col min="15889" max="15889" width="9.5703125" style="34" customWidth="1"/>
    <col min="15890" max="15890" width="17.5703125" style="34" customWidth="1"/>
    <col min="15891" max="15891" width="20.7109375" style="34" customWidth="1"/>
    <col min="15892" max="15892" width="23.28515625" style="34" customWidth="1"/>
    <col min="15893" max="15893" width="12.5703125" style="34" customWidth="1"/>
    <col min="15894" max="15894" width="16.140625" style="34" customWidth="1"/>
    <col min="15895" max="15895" width="21.85546875" style="34" customWidth="1"/>
    <col min="15896" max="15896" width="15.28515625" style="34" customWidth="1"/>
    <col min="15897" max="15897" width="17.85546875" style="34" customWidth="1"/>
    <col min="15898" max="15898" width="17.42578125" style="34" customWidth="1"/>
    <col min="15899" max="15899" width="12.85546875" style="34" customWidth="1"/>
    <col min="15900" max="15900" width="23.42578125" style="34" customWidth="1"/>
    <col min="15901" max="16128" width="3.42578125" style="34"/>
    <col min="16129" max="16129" width="18.42578125" style="34" customWidth="1"/>
    <col min="16130" max="16130" width="9.42578125" style="34" customWidth="1"/>
    <col min="16131" max="16131" width="11.42578125" style="34" customWidth="1"/>
    <col min="16132" max="16139" width="9.42578125" style="34" customWidth="1"/>
    <col min="16140" max="16141" width="3.42578125" style="34"/>
    <col min="16142" max="16142" width="6.42578125" style="34" customWidth="1"/>
    <col min="16143" max="16143" width="45" style="34" customWidth="1"/>
    <col min="16144" max="16144" width="31.85546875" style="34" customWidth="1"/>
    <col min="16145" max="16145" width="9.5703125" style="34" customWidth="1"/>
    <col min="16146" max="16146" width="17.5703125" style="34" customWidth="1"/>
    <col min="16147" max="16147" width="20.7109375" style="34" customWidth="1"/>
    <col min="16148" max="16148" width="23.28515625" style="34" customWidth="1"/>
    <col min="16149" max="16149" width="12.5703125" style="34" customWidth="1"/>
    <col min="16150" max="16150" width="16.140625" style="34" customWidth="1"/>
    <col min="16151" max="16151" width="21.85546875" style="34" customWidth="1"/>
    <col min="16152" max="16152" width="15.28515625" style="34" customWidth="1"/>
    <col min="16153" max="16153" width="17.85546875" style="34" customWidth="1"/>
    <col min="16154" max="16154" width="17.42578125" style="34" customWidth="1"/>
    <col min="16155" max="16155" width="12.85546875" style="34" customWidth="1"/>
    <col min="16156" max="16156" width="23.42578125" style="34" customWidth="1"/>
    <col min="16157" max="16384" width="3.42578125" style="34"/>
  </cols>
  <sheetData>
    <row r="1" spans="1:22">
      <c r="A1" s="34" t="s">
        <v>606</v>
      </c>
    </row>
    <row r="2" spans="1:22" s="38" customFormat="1" ht="21.75" customHeight="1">
      <c r="A2" s="35" t="s">
        <v>607</v>
      </c>
      <c r="B2" s="36"/>
      <c r="C2" s="36"/>
      <c r="D2" s="36"/>
      <c r="E2" s="36"/>
      <c r="F2" s="36"/>
      <c r="G2" s="36"/>
      <c r="H2" s="37"/>
      <c r="J2" s="39"/>
      <c r="O2" s="38" t="s">
        <v>168</v>
      </c>
      <c r="P2" s="185" t="s">
        <v>608</v>
      </c>
    </row>
    <row r="3" spans="1:22" ht="23.45" thickBot="1">
      <c r="A3" s="35" t="s">
        <v>609</v>
      </c>
      <c r="B3" s="40"/>
      <c r="C3" s="40"/>
      <c r="D3" s="40"/>
      <c r="E3" s="40"/>
      <c r="F3" s="40"/>
      <c r="G3" s="41"/>
      <c r="H3" s="42"/>
      <c r="I3" s="43"/>
      <c r="J3" s="43"/>
      <c r="K3" s="44" t="s">
        <v>610</v>
      </c>
    </row>
    <row r="4" spans="1:22" s="48" customFormat="1" ht="33.75" customHeight="1" thickTop="1" thickBot="1">
      <c r="A4" s="45"/>
      <c r="B4" s="46" t="s">
        <v>137</v>
      </c>
      <c r="C4" s="47" t="s">
        <v>611</v>
      </c>
      <c r="D4" s="46" t="s">
        <v>612</v>
      </c>
      <c r="E4" s="46" t="s">
        <v>613</v>
      </c>
      <c r="F4" s="47" t="s">
        <v>614</v>
      </c>
      <c r="G4" s="47" t="s">
        <v>615</v>
      </c>
      <c r="H4" s="46" t="s">
        <v>616</v>
      </c>
      <c r="I4" s="46" t="s">
        <v>129</v>
      </c>
      <c r="J4" s="46" t="s">
        <v>617</v>
      </c>
      <c r="K4" s="46" t="s">
        <v>156</v>
      </c>
      <c r="O4" s="943" t="s">
        <v>618</v>
      </c>
      <c r="P4" s="947"/>
      <c r="Q4" s="947"/>
      <c r="R4" s="947"/>
      <c r="S4" s="947"/>
      <c r="T4" s="49"/>
      <c r="U4" s="49"/>
    </row>
    <row r="5" spans="1:22" s="53" customFormat="1" ht="10.5" customHeight="1" thickTop="1">
      <c r="A5" s="50" t="s">
        <v>619</v>
      </c>
      <c r="B5" s="51"/>
      <c r="C5" s="52"/>
      <c r="D5" s="52"/>
      <c r="E5" s="52"/>
      <c r="F5" s="52"/>
      <c r="G5" s="52"/>
      <c r="H5" s="52"/>
      <c r="I5" s="52"/>
      <c r="J5" s="52"/>
      <c r="K5" s="52"/>
      <c r="O5" s="944"/>
      <c r="P5" s="54" t="s">
        <v>620</v>
      </c>
      <c r="Q5" s="54" t="s">
        <v>620</v>
      </c>
      <c r="R5" s="54" t="s">
        <v>621</v>
      </c>
      <c r="S5" s="54" t="s">
        <v>622</v>
      </c>
      <c r="T5" s="40" t="s">
        <v>623</v>
      </c>
      <c r="U5" s="40"/>
    </row>
    <row r="6" spans="1:22" s="53" customFormat="1" ht="10.5" customHeight="1" thickBot="1">
      <c r="A6" s="40" t="s">
        <v>624</v>
      </c>
      <c r="B6" s="55">
        <v>2870.23</v>
      </c>
      <c r="C6" s="55">
        <v>0</v>
      </c>
      <c r="D6" s="55">
        <v>51951.69</v>
      </c>
      <c r="E6" s="55">
        <v>0</v>
      </c>
      <c r="F6" s="55">
        <v>39875.980000000003</v>
      </c>
      <c r="G6" s="56">
        <v>10089.58</v>
      </c>
      <c r="H6" s="57">
        <v>19964.55</v>
      </c>
      <c r="I6" s="55">
        <v>0</v>
      </c>
      <c r="J6" s="55">
        <v>0</v>
      </c>
      <c r="K6" s="56">
        <v>124752.03</v>
      </c>
      <c r="L6" s="51"/>
      <c r="M6" s="58"/>
      <c r="O6" s="945"/>
      <c r="P6" s="59" t="s">
        <v>625</v>
      </c>
      <c r="Q6" s="59" t="s">
        <v>626</v>
      </c>
      <c r="R6" s="59" t="s">
        <v>626</v>
      </c>
      <c r="S6" s="59" t="s">
        <v>626</v>
      </c>
      <c r="T6" s="40"/>
      <c r="U6" s="40"/>
    </row>
    <row r="7" spans="1:22" s="53" customFormat="1" ht="10.5" customHeight="1" thickBot="1">
      <c r="A7" s="40" t="s">
        <v>627</v>
      </c>
      <c r="B7" s="55">
        <v>6013.8</v>
      </c>
      <c r="C7" s="55">
        <v>890.09</v>
      </c>
      <c r="D7" s="55">
        <v>53468.12</v>
      </c>
      <c r="E7" s="55">
        <v>38558.980000000003</v>
      </c>
      <c r="F7" s="55">
        <v>45523.21</v>
      </c>
      <c r="G7" s="55">
        <v>3849.42</v>
      </c>
      <c r="H7" s="55">
        <v>0</v>
      </c>
      <c r="I7" s="55">
        <v>1721.23</v>
      </c>
      <c r="J7" s="55">
        <v>0</v>
      </c>
      <c r="K7" s="55">
        <v>150024.84</v>
      </c>
      <c r="L7" s="51"/>
      <c r="O7" s="60" t="s">
        <v>628</v>
      </c>
      <c r="P7" s="61">
        <v>278000</v>
      </c>
      <c r="Q7" s="62" t="s">
        <v>629</v>
      </c>
      <c r="R7" s="62" t="s">
        <v>629</v>
      </c>
      <c r="S7" s="62" t="s">
        <v>629</v>
      </c>
      <c r="T7" s="63">
        <v>32799900</v>
      </c>
      <c r="U7" s="40" t="s">
        <v>630</v>
      </c>
      <c r="V7" s="64" t="s">
        <v>631</v>
      </c>
    </row>
    <row r="8" spans="1:22" s="53" customFormat="1" ht="10.5" customHeight="1" thickBot="1">
      <c r="A8" s="40" t="s">
        <v>632</v>
      </c>
      <c r="B8" s="55">
        <v>-322.39</v>
      </c>
      <c r="C8" s="55">
        <v>-15.93</v>
      </c>
      <c r="D8" s="55">
        <v>-38179.75</v>
      </c>
      <c r="E8" s="55">
        <v>-26609.02</v>
      </c>
      <c r="F8" s="55">
        <v>-10063.91</v>
      </c>
      <c r="G8" s="55">
        <v>-382.65</v>
      </c>
      <c r="H8" s="55">
        <v>0</v>
      </c>
      <c r="I8" s="55">
        <v>-195.43</v>
      </c>
      <c r="J8" s="55">
        <v>0</v>
      </c>
      <c r="K8" s="55">
        <v>-75769.08</v>
      </c>
      <c r="L8" s="51"/>
      <c r="O8" s="65" t="s">
        <v>633</v>
      </c>
      <c r="P8" s="61">
        <v>188000</v>
      </c>
      <c r="Q8" s="62">
        <v>67.599999999999994</v>
      </c>
      <c r="R8" s="62">
        <v>64.099999999999994</v>
      </c>
      <c r="S8" s="62">
        <v>67.8</v>
      </c>
      <c r="T8" s="40"/>
      <c r="U8" s="40"/>
    </row>
    <row r="9" spans="1:22" s="53" customFormat="1" ht="10.5" customHeight="1">
      <c r="A9" s="40" t="s">
        <v>634</v>
      </c>
      <c r="B9" s="55">
        <v>0</v>
      </c>
      <c r="C9" s="55">
        <v>0</v>
      </c>
      <c r="D9" s="55">
        <v>0</v>
      </c>
      <c r="E9" s="55">
        <v>-2840.45</v>
      </c>
      <c r="F9" s="55">
        <v>0</v>
      </c>
      <c r="G9" s="55">
        <v>0</v>
      </c>
      <c r="H9" s="55">
        <v>0</v>
      </c>
      <c r="I9" s="55">
        <v>0</v>
      </c>
      <c r="J9" s="55">
        <v>0</v>
      </c>
      <c r="K9" s="55">
        <v>-2840.45</v>
      </c>
      <c r="L9" s="51"/>
      <c r="O9" s="65" t="s">
        <v>635</v>
      </c>
      <c r="P9" s="61">
        <v>91000</v>
      </c>
      <c r="Q9" s="62">
        <v>32.700000000000003</v>
      </c>
      <c r="R9" s="62">
        <v>35.9</v>
      </c>
      <c r="S9" s="62">
        <v>32.200000000000003</v>
      </c>
      <c r="T9" s="40"/>
      <c r="U9" s="40"/>
    </row>
    <row r="10" spans="1:22" s="53" customFormat="1" ht="12.75" customHeight="1" thickBot="1">
      <c r="A10" s="40" t="s">
        <v>636</v>
      </c>
      <c r="B10" s="55">
        <v>3404.58</v>
      </c>
      <c r="C10" s="55">
        <v>-89.38</v>
      </c>
      <c r="D10" s="55">
        <v>-135.47</v>
      </c>
      <c r="E10" s="55">
        <v>59.77</v>
      </c>
      <c r="F10" s="55">
        <v>1484.24</v>
      </c>
      <c r="G10" s="55">
        <v>0</v>
      </c>
      <c r="H10" s="55">
        <v>0</v>
      </c>
      <c r="I10" s="55">
        <v>0</v>
      </c>
      <c r="J10" s="55">
        <v>0</v>
      </c>
      <c r="K10" s="55">
        <v>4723.74</v>
      </c>
      <c r="L10" s="66"/>
      <c r="O10" s="946" t="s">
        <v>637</v>
      </c>
      <c r="P10" s="946"/>
      <c r="Q10" s="946"/>
      <c r="R10" s="946"/>
      <c r="S10" s="946"/>
      <c r="T10" s="40"/>
      <c r="U10" s="40" t="s">
        <v>638</v>
      </c>
    </row>
    <row r="11" spans="1:22" s="70" customFormat="1" ht="10.5" customHeight="1" thickBot="1">
      <c r="A11" s="67" t="s">
        <v>639</v>
      </c>
      <c r="B11" s="68">
        <v>11966.22</v>
      </c>
      <c r="C11" s="68">
        <v>784.78</v>
      </c>
      <c r="D11" s="68">
        <v>67104.58</v>
      </c>
      <c r="E11" s="68">
        <v>9169.2800000000007</v>
      </c>
      <c r="F11" s="68">
        <v>76819.520000000004</v>
      </c>
      <c r="G11" s="69">
        <v>13556.35</v>
      </c>
      <c r="H11" s="68">
        <v>19964.55</v>
      </c>
      <c r="I11" s="68">
        <v>1525.8</v>
      </c>
      <c r="J11" s="68">
        <v>0</v>
      </c>
      <c r="K11" s="69">
        <v>200891.09</v>
      </c>
      <c r="L11" s="51"/>
      <c r="O11" s="65" t="s">
        <v>640</v>
      </c>
      <c r="P11" s="71">
        <v>25</v>
      </c>
      <c r="Q11" s="62">
        <v>0</v>
      </c>
      <c r="R11" s="62">
        <v>0.2</v>
      </c>
      <c r="S11" s="62">
        <v>0.2</v>
      </c>
      <c r="T11" s="72">
        <f>S11*$T$7/100</f>
        <v>65599.8</v>
      </c>
      <c r="U11" s="73">
        <f>P11/T11</f>
        <v>3.8109872286195992E-4</v>
      </c>
    </row>
    <row r="12" spans="1:22" s="70" customFormat="1" ht="11.25" customHeight="1" thickBot="1">
      <c r="A12" s="67" t="s">
        <v>641</v>
      </c>
      <c r="B12" s="55">
        <v>14.59</v>
      </c>
      <c r="C12" s="55">
        <v>0.73</v>
      </c>
      <c r="D12" s="55">
        <v>15.65</v>
      </c>
      <c r="E12" s="55">
        <v>10.89</v>
      </c>
      <c r="F12" s="55">
        <v>-119.32</v>
      </c>
      <c r="G12" s="55">
        <v>0</v>
      </c>
      <c r="H12" s="55">
        <v>0</v>
      </c>
      <c r="I12" s="55">
        <v>21</v>
      </c>
      <c r="J12" s="55">
        <v>0</v>
      </c>
      <c r="K12" s="55">
        <v>-56.47</v>
      </c>
      <c r="L12" s="51"/>
      <c r="O12" s="65" t="s">
        <v>642</v>
      </c>
      <c r="P12" s="74">
        <v>10000</v>
      </c>
      <c r="Q12" s="62">
        <v>3.6</v>
      </c>
      <c r="R12" s="62">
        <v>8.8000000000000007</v>
      </c>
      <c r="S12" s="62">
        <v>8</v>
      </c>
      <c r="T12" s="72">
        <f t="shared" ref="T12:T28" si="0">S12*$T$7/100</f>
        <v>2623992</v>
      </c>
      <c r="U12" s="73">
        <f t="shared" ref="U12:U28" si="1">P12/T12</f>
        <v>3.8109872286195994E-3</v>
      </c>
    </row>
    <row r="13" spans="1:22" s="70" customFormat="1" ht="10.5" customHeight="1" thickBot="1">
      <c r="A13" s="67" t="s">
        <v>643</v>
      </c>
      <c r="B13" s="68">
        <v>11951.64</v>
      </c>
      <c r="C13" s="68">
        <v>784.05</v>
      </c>
      <c r="D13" s="68">
        <v>67088.929999999993</v>
      </c>
      <c r="E13" s="68">
        <v>9158.39</v>
      </c>
      <c r="F13" s="68">
        <v>76938.84</v>
      </c>
      <c r="G13" s="69">
        <v>13556.35</v>
      </c>
      <c r="H13" s="68">
        <v>19964.55</v>
      </c>
      <c r="I13" s="68">
        <v>1504.8</v>
      </c>
      <c r="J13" s="68">
        <v>0</v>
      </c>
      <c r="K13" s="69">
        <v>200947.56</v>
      </c>
      <c r="L13" s="51"/>
      <c r="O13" s="65" t="s">
        <v>644</v>
      </c>
      <c r="P13" s="74">
        <v>1750</v>
      </c>
      <c r="Q13" s="62">
        <v>0.6</v>
      </c>
      <c r="R13" s="62">
        <v>0.4</v>
      </c>
      <c r="S13" s="62">
        <v>0.4</v>
      </c>
      <c r="T13" s="72">
        <f t="shared" si="0"/>
        <v>131199.6</v>
      </c>
      <c r="U13" s="73">
        <f t="shared" si="1"/>
        <v>1.3338455300168597E-2</v>
      </c>
    </row>
    <row r="14" spans="1:22" s="53" customFormat="1" ht="15" customHeight="1" thickBot="1">
      <c r="A14" s="40"/>
      <c r="B14" s="56"/>
      <c r="C14" s="56"/>
      <c r="D14" s="56"/>
      <c r="E14" s="56"/>
      <c r="F14" s="56"/>
      <c r="G14" s="55"/>
      <c r="H14" s="55"/>
      <c r="I14" s="56"/>
      <c r="J14" s="55"/>
      <c r="K14" s="75"/>
      <c r="L14" s="51"/>
      <c r="O14" s="65" t="s">
        <v>645</v>
      </c>
      <c r="P14" s="74">
        <v>1750</v>
      </c>
      <c r="Q14" s="62">
        <v>0.6</v>
      </c>
      <c r="R14" s="62">
        <v>0.8</v>
      </c>
      <c r="S14" s="62">
        <v>0.7</v>
      </c>
      <c r="T14" s="72">
        <f t="shared" si="0"/>
        <v>229599.3</v>
      </c>
      <c r="U14" s="73">
        <f t="shared" si="1"/>
        <v>7.6219744572391989E-3</v>
      </c>
    </row>
    <row r="15" spans="1:22" s="53" customFormat="1" ht="10.5" customHeight="1" thickBot="1">
      <c r="A15" s="40" t="s">
        <v>646</v>
      </c>
      <c r="B15" s="55">
        <v>0</v>
      </c>
      <c r="C15" s="55">
        <v>26.71</v>
      </c>
      <c r="D15" s="55">
        <v>-1590.92</v>
      </c>
      <c r="E15" s="55">
        <v>1632.77</v>
      </c>
      <c r="F15" s="55">
        <v>135.44</v>
      </c>
      <c r="G15" s="55">
        <v>-368.1</v>
      </c>
      <c r="H15" s="55">
        <v>-4550.7299999999996</v>
      </c>
      <c r="I15" s="55">
        <v>4550.7299999999996</v>
      </c>
      <c r="J15" s="55">
        <v>0</v>
      </c>
      <c r="K15" s="55">
        <v>-164.1</v>
      </c>
      <c r="L15" s="51"/>
      <c r="O15" s="65" t="s">
        <v>647</v>
      </c>
      <c r="P15" s="61">
        <v>12000</v>
      </c>
      <c r="Q15" s="62">
        <v>4.3</v>
      </c>
      <c r="R15" s="62">
        <v>5.7</v>
      </c>
      <c r="S15" s="62">
        <v>4.9000000000000004</v>
      </c>
      <c r="T15" s="72">
        <f t="shared" si="0"/>
        <v>1607195.1</v>
      </c>
      <c r="U15" s="73">
        <f t="shared" si="1"/>
        <v>7.4664239581118683E-3</v>
      </c>
    </row>
    <row r="16" spans="1:22" s="53" customFormat="1" ht="10.5" customHeight="1" thickBot="1">
      <c r="A16" s="50" t="s">
        <v>648</v>
      </c>
      <c r="B16" s="76">
        <v>-10207.41</v>
      </c>
      <c r="C16" s="76">
        <v>281.12</v>
      </c>
      <c r="D16" s="76">
        <v>-65498.01</v>
      </c>
      <c r="E16" s="76">
        <v>64680.19</v>
      </c>
      <c r="F16" s="76">
        <v>-28158.15</v>
      </c>
      <c r="G16" s="75">
        <v>-9101.7900000000009</v>
      </c>
      <c r="H16" s="76">
        <v>-15413.83</v>
      </c>
      <c r="I16" s="76">
        <v>24357.72</v>
      </c>
      <c r="J16" s="76">
        <v>1555.57</v>
      </c>
      <c r="K16" s="75">
        <v>-37504.6</v>
      </c>
      <c r="L16" s="51"/>
      <c r="O16" s="65" t="s">
        <v>649</v>
      </c>
      <c r="P16" s="77">
        <v>36000</v>
      </c>
      <c r="Q16" s="62">
        <v>12.9</v>
      </c>
      <c r="R16" s="62">
        <v>16.100000000000001</v>
      </c>
      <c r="S16" s="62">
        <v>15</v>
      </c>
      <c r="T16" s="72">
        <f t="shared" si="0"/>
        <v>4919985</v>
      </c>
      <c r="U16" s="73">
        <f t="shared" si="1"/>
        <v>7.3170954789496308E-3</v>
      </c>
    </row>
    <row r="17" spans="1:28" s="53" customFormat="1" ht="10.5" customHeight="1" thickBot="1">
      <c r="A17" s="40" t="s">
        <v>650</v>
      </c>
      <c r="B17" s="55">
        <v>-7625.6</v>
      </c>
      <c r="C17" s="55">
        <v>-539.77</v>
      </c>
      <c r="D17" s="55">
        <v>0</v>
      </c>
      <c r="E17" s="55">
        <v>-558.87</v>
      </c>
      <c r="F17" s="55">
        <v>-25629.88</v>
      </c>
      <c r="G17" s="56">
        <v>-8912.9599999999991</v>
      </c>
      <c r="H17" s="55">
        <v>-15413.83</v>
      </c>
      <c r="I17" s="55">
        <v>24357.72</v>
      </c>
      <c r="J17" s="55">
        <v>0</v>
      </c>
      <c r="K17" s="56">
        <v>-34323.19</v>
      </c>
      <c r="L17" s="51"/>
      <c r="O17" s="65" t="s">
        <v>651</v>
      </c>
      <c r="P17" s="61">
        <v>11000</v>
      </c>
      <c r="Q17" s="62">
        <v>4</v>
      </c>
      <c r="R17" s="62">
        <v>3.8</v>
      </c>
      <c r="S17" s="62">
        <v>4.9000000000000004</v>
      </c>
      <c r="T17" s="72">
        <f t="shared" si="0"/>
        <v>1607195.1</v>
      </c>
      <c r="U17" s="73">
        <f t="shared" si="1"/>
        <v>6.8442219616025451E-3</v>
      </c>
    </row>
    <row r="18" spans="1:28" s="53" customFormat="1" ht="10.5" customHeight="1" thickBot="1">
      <c r="A18" s="40" t="s">
        <v>652</v>
      </c>
      <c r="B18" s="55">
        <v>-7615.89</v>
      </c>
      <c r="C18" s="55">
        <v>0</v>
      </c>
      <c r="D18" s="55">
        <v>0</v>
      </c>
      <c r="E18" s="55">
        <v>-194.03</v>
      </c>
      <c r="F18" s="55">
        <v>-23350.23</v>
      </c>
      <c r="G18" s="55">
        <v>-4233.49</v>
      </c>
      <c r="H18" s="55">
        <v>-15413.83</v>
      </c>
      <c r="I18" s="55">
        <v>21778.61</v>
      </c>
      <c r="J18" s="55">
        <v>0</v>
      </c>
      <c r="K18" s="55">
        <v>-29028.86</v>
      </c>
      <c r="L18" s="51"/>
      <c r="O18" s="65" t="s">
        <v>653</v>
      </c>
      <c r="P18" s="77">
        <v>18000</v>
      </c>
      <c r="Q18" s="62">
        <v>6.5</v>
      </c>
      <c r="R18" s="62">
        <v>9.5</v>
      </c>
      <c r="S18" s="62">
        <v>7.7</v>
      </c>
      <c r="T18" s="72">
        <f t="shared" si="0"/>
        <v>2525592.2999999998</v>
      </c>
      <c r="U18" s="73">
        <f t="shared" si="1"/>
        <v>7.1270410509249654E-3</v>
      </c>
    </row>
    <row r="19" spans="1:28" s="53" customFormat="1" ht="10.5" customHeight="1" thickBot="1">
      <c r="A19" s="40" t="s">
        <v>654</v>
      </c>
      <c r="B19" s="55">
        <v>-9.7100000000000009</v>
      </c>
      <c r="C19" s="55">
        <v>-539.77</v>
      </c>
      <c r="D19" s="55">
        <v>0</v>
      </c>
      <c r="E19" s="55">
        <v>-364.84</v>
      </c>
      <c r="F19" s="55">
        <v>-2279.65</v>
      </c>
      <c r="G19" s="56">
        <v>-4679.46</v>
      </c>
      <c r="H19" s="55">
        <v>0</v>
      </c>
      <c r="I19" s="55">
        <v>2579.11</v>
      </c>
      <c r="J19" s="55">
        <v>0</v>
      </c>
      <c r="K19" s="56">
        <v>-5294.33</v>
      </c>
      <c r="L19" s="51"/>
      <c r="O19" s="65" t="s">
        <v>655</v>
      </c>
      <c r="P19" s="77">
        <v>14000</v>
      </c>
      <c r="Q19" s="62">
        <v>5</v>
      </c>
      <c r="R19" s="62">
        <v>3.1</v>
      </c>
      <c r="S19" s="62">
        <v>4.3</v>
      </c>
      <c r="T19" s="72">
        <f t="shared" si="0"/>
        <v>1410395.7</v>
      </c>
      <c r="U19" s="73">
        <f t="shared" si="1"/>
        <v>9.9262923164045377E-3</v>
      </c>
    </row>
    <row r="20" spans="1:28" s="78" customFormat="1" ht="10.5" customHeight="1" thickBot="1">
      <c r="A20" s="40" t="s">
        <v>656</v>
      </c>
      <c r="B20" s="55">
        <v>-3.61</v>
      </c>
      <c r="C20" s="55">
        <v>-1.1599999999999999</v>
      </c>
      <c r="D20" s="55">
        <v>0</v>
      </c>
      <c r="E20" s="55">
        <v>-45.11</v>
      </c>
      <c r="F20" s="55">
        <v>-2528.27</v>
      </c>
      <c r="G20" s="55">
        <v>-188.83</v>
      </c>
      <c r="H20" s="55">
        <v>0</v>
      </c>
      <c r="I20" s="55">
        <v>0</v>
      </c>
      <c r="J20" s="55">
        <v>1555.57</v>
      </c>
      <c r="K20" s="55">
        <v>-1211.4100000000001</v>
      </c>
      <c r="L20" s="51"/>
      <c r="O20" s="65" t="s">
        <v>657</v>
      </c>
      <c r="P20" s="77">
        <v>18000</v>
      </c>
      <c r="Q20" s="62">
        <v>6.5</v>
      </c>
      <c r="R20" s="62">
        <v>3.2</v>
      </c>
      <c r="S20" s="62">
        <v>3.5</v>
      </c>
      <c r="T20" s="72">
        <f t="shared" si="0"/>
        <v>1147996.5</v>
      </c>
      <c r="U20" s="73">
        <f t="shared" si="1"/>
        <v>1.5679490312034923E-2</v>
      </c>
    </row>
    <row r="21" spans="1:28" s="53" customFormat="1" ht="10.5" customHeight="1" thickBot="1">
      <c r="A21" s="40" t="s">
        <v>658</v>
      </c>
      <c r="B21" s="55">
        <v>0</v>
      </c>
      <c r="C21" s="55">
        <v>0</v>
      </c>
      <c r="D21" s="55">
        <v>-65967.02</v>
      </c>
      <c r="E21" s="55">
        <v>65879.710000000006</v>
      </c>
      <c r="F21" s="55">
        <v>0</v>
      </c>
      <c r="G21" s="55">
        <v>0</v>
      </c>
      <c r="H21" s="55">
        <v>0</v>
      </c>
      <c r="I21" s="55">
        <v>0</v>
      </c>
      <c r="J21" s="55">
        <v>0</v>
      </c>
      <c r="K21" s="55">
        <v>-87.31</v>
      </c>
      <c r="L21" s="51"/>
      <c r="O21" s="65" t="s">
        <v>659</v>
      </c>
      <c r="P21" s="77">
        <v>4000</v>
      </c>
      <c r="Q21" s="62">
        <v>1.4</v>
      </c>
      <c r="R21" s="62">
        <v>1.7</v>
      </c>
      <c r="S21" s="62">
        <v>1.7</v>
      </c>
      <c r="T21" s="72">
        <f t="shared" si="0"/>
        <v>557598.30000000005</v>
      </c>
      <c r="U21" s="73">
        <f t="shared" si="1"/>
        <v>7.1736230185780693E-3</v>
      </c>
    </row>
    <row r="22" spans="1:28" s="53" customFormat="1" ht="10.5" customHeight="1" thickBot="1">
      <c r="A22" s="40" t="s">
        <v>660</v>
      </c>
      <c r="B22" s="55">
        <v>-1384.28</v>
      </c>
      <c r="C22" s="55">
        <v>1303.1300000000001</v>
      </c>
      <c r="D22" s="55">
        <v>0</v>
      </c>
      <c r="E22" s="55">
        <v>0</v>
      </c>
      <c r="F22" s="55">
        <v>0</v>
      </c>
      <c r="G22" s="55">
        <v>0</v>
      </c>
      <c r="H22" s="55">
        <v>0</v>
      </c>
      <c r="I22" s="55">
        <v>0</v>
      </c>
      <c r="J22" s="55">
        <v>0</v>
      </c>
      <c r="K22" s="55">
        <v>-81.150000000000006</v>
      </c>
      <c r="L22" s="51"/>
      <c r="O22" s="65" t="s">
        <v>661</v>
      </c>
      <c r="P22" s="77">
        <v>36000</v>
      </c>
      <c r="Q22" s="62">
        <v>12.9</v>
      </c>
      <c r="R22" s="62">
        <v>8.4</v>
      </c>
      <c r="S22" s="62">
        <v>8.8000000000000007</v>
      </c>
      <c r="T22" s="72">
        <f t="shared" si="0"/>
        <v>2886391.2</v>
      </c>
      <c r="U22" s="73">
        <f t="shared" si="1"/>
        <v>1.2472321839118687E-2</v>
      </c>
    </row>
    <row r="23" spans="1:28" s="53" customFormat="1" ht="10.5" customHeight="1" thickBot="1">
      <c r="A23" s="40" t="s">
        <v>662</v>
      </c>
      <c r="B23" s="55">
        <v>-1036.69</v>
      </c>
      <c r="C23" s="55">
        <v>-655.58</v>
      </c>
      <c r="D23" s="55">
        <v>0</v>
      </c>
      <c r="E23" s="55">
        <v>0</v>
      </c>
      <c r="F23" s="55">
        <v>0</v>
      </c>
      <c r="G23" s="55">
        <v>0</v>
      </c>
      <c r="H23" s="55">
        <v>0</v>
      </c>
      <c r="I23" s="55">
        <v>0</v>
      </c>
      <c r="J23" s="55">
        <v>0</v>
      </c>
      <c r="K23" s="55">
        <v>-1692.27</v>
      </c>
      <c r="L23" s="51"/>
      <c r="O23" s="65" t="s">
        <v>663</v>
      </c>
      <c r="P23" s="77">
        <v>27000</v>
      </c>
      <c r="Q23" s="62">
        <v>9.6999999999999993</v>
      </c>
      <c r="R23" s="62">
        <v>7.1</v>
      </c>
      <c r="S23" s="62">
        <v>8.9</v>
      </c>
      <c r="T23" s="72">
        <f t="shared" si="0"/>
        <v>2919191.1</v>
      </c>
      <c r="U23" s="73">
        <f t="shared" si="1"/>
        <v>9.2491375436161063E-3</v>
      </c>
    </row>
    <row r="24" spans="1:28" s="53" customFormat="1" ht="10.5" customHeight="1" thickBot="1">
      <c r="A24" s="40" t="s">
        <v>664</v>
      </c>
      <c r="B24" s="55">
        <v>-157.22</v>
      </c>
      <c r="C24" s="55">
        <v>174.49</v>
      </c>
      <c r="D24" s="55">
        <v>0</v>
      </c>
      <c r="E24" s="55">
        <v>-80.88</v>
      </c>
      <c r="F24" s="55">
        <v>0</v>
      </c>
      <c r="G24" s="55">
        <v>0</v>
      </c>
      <c r="H24" s="55">
        <v>0</v>
      </c>
      <c r="I24" s="55">
        <v>0</v>
      </c>
      <c r="J24" s="55">
        <v>0</v>
      </c>
      <c r="K24" s="55">
        <v>-63.61</v>
      </c>
      <c r="L24" s="51"/>
      <c r="O24" s="65" t="s">
        <v>665</v>
      </c>
      <c r="P24" s="77">
        <v>13000</v>
      </c>
      <c r="Q24" s="62">
        <v>4.7</v>
      </c>
      <c r="R24" s="62">
        <v>4.2</v>
      </c>
      <c r="S24" s="62">
        <v>4.4000000000000004</v>
      </c>
      <c r="T24" s="72">
        <f t="shared" si="0"/>
        <v>1443195.6</v>
      </c>
      <c r="U24" s="73">
        <f t="shared" si="1"/>
        <v>9.0077879949190531E-3</v>
      </c>
    </row>
    <row r="25" spans="1:28" s="53" customFormat="1" ht="10.5" customHeight="1" thickBot="1">
      <c r="A25" s="79" t="s">
        <v>666</v>
      </c>
      <c r="B25" s="80">
        <v>0</v>
      </c>
      <c r="C25" s="80">
        <v>0</v>
      </c>
      <c r="D25" s="80">
        <v>469.01</v>
      </c>
      <c r="E25" s="80">
        <v>-514.66</v>
      </c>
      <c r="F25" s="80">
        <v>0</v>
      </c>
      <c r="G25" s="80">
        <v>0</v>
      </c>
      <c r="H25" s="80">
        <v>0</v>
      </c>
      <c r="I25" s="80">
        <v>0</v>
      </c>
      <c r="J25" s="80">
        <v>0</v>
      </c>
      <c r="K25" s="80">
        <v>-45.65</v>
      </c>
      <c r="L25" s="51"/>
      <c r="O25" s="81" t="s">
        <v>667</v>
      </c>
      <c r="P25" s="77">
        <v>25000</v>
      </c>
      <c r="Q25" s="82">
        <v>9</v>
      </c>
      <c r="R25" s="82">
        <v>8.6</v>
      </c>
      <c r="S25" s="82">
        <v>8.6999999999999993</v>
      </c>
      <c r="T25" s="72">
        <f t="shared" si="0"/>
        <v>2853591.3</v>
      </c>
      <c r="U25" s="73">
        <f t="shared" si="1"/>
        <v>8.7608901807347123E-3</v>
      </c>
    </row>
    <row r="26" spans="1:28" s="53" customFormat="1" ht="10.5" customHeight="1" thickBot="1">
      <c r="A26" s="50" t="s">
        <v>668</v>
      </c>
      <c r="B26" s="76">
        <v>0</v>
      </c>
      <c r="C26" s="76">
        <v>468.28</v>
      </c>
      <c r="D26" s="76">
        <v>0</v>
      </c>
      <c r="E26" s="76">
        <v>4286.05</v>
      </c>
      <c r="F26" s="76">
        <v>4953.41</v>
      </c>
      <c r="G26" s="76">
        <v>0</v>
      </c>
      <c r="H26" s="76">
        <v>0</v>
      </c>
      <c r="I26" s="76">
        <v>2028.06</v>
      </c>
      <c r="J26" s="76">
        <v>316.24</v>
      </c>
      <c r="K26" s="76">
        <v>12052.04</v>
      </c>
      <c r="L26" s="51"/>
      <c r="O26" s="65" t="s">
        <v>669</v>
      </c>
      <c r="P26" s="77">
        <v>42000</v>
      </c>
      <c r="Q26" s="62">
        <v>15.1</v>
      </c>
      <c r="R26" s="62">
        <v>14</v>
      </c>
      <c r="S26" s="62">
        <v>13.1</v>
      </c>
      <c r="T26" s="72">
        <f t="shared" si="0"/>
        <v>4296786.9000000004</v>
      </c>
      <c r="U26" s="73">
        <f t="shared" si="1"/>
        <v>9.7747458688258425E-3</v>
      </c>
    </row>
    <row r="27" spans="1:28" s="53" customFormat="1" ht="10.5" customHeight="1" thickBot="1">
      <c r="A27" s="40" t="s">
        <v>650</v>
      </c>
      <c r="B27" s="55">
        <v>0</v>
      </c>
      <c r="C27" s="55">
        <v>0</v>
      </c>
      <c r="D27" s="55">
        <v>0</v>
      </c>
      <c r="E27" s="55">
        <v>0</v>
      </c>
      <c r="F27" s="55">
        <v>0</v>
      </c>
      <c r="G27" s="55">
        <v>0</v>
      </c>
      <c r="H27" s="55">
        <v>0</v>
      </c>
      <c r="I27" s="55">
        <v>1312.79</v>
      </c>
      <c r="J27" s="55">
        <v>0</v>
      </c>
      <c r="K27" s="55">
        <v>1312.79</v>
      </c>
      <c r="L27" s="51"/>
      <c r="O27" s="65" t="s">
        <v>670</v>
      </c>
      <c r="P27" s="77">
        <v>6000</v>
      </c>
      <c r="Q27" s="62">
        <v>2.2000000000000002</v>
      </c>
      <c r="R27" s="62">
        <v>2.4</v>
      </c>
      <c r="S27" s="62">
        <v>2.5</v>
      </c>
      <c r="T27" s="72">
        <f t="shared" si="0"/>
        <v>819997.5</v>
      </c>
      <c r="U27" s="73">
        <f t="shared" si="1"/>
        <v>7.3170954789496308E-3</v>
      </c>
    </row>
    <row r="28" spans="1:28" s="53" customFormat="1" ht="10.5" customHeight="1">
      <c r="A28" s="40" t="s">
        <v>671</v>
      </c>
      <c r="B28" s="55">
        <v>0</v>
      </c>
      <c r="C28" s="55">
        <v>0</v>
      </c>
      <c r="D28" s="55">
        <v>0</v>
      </c>
      <c r="E28" s="55">
        <v>715.21</v>
      </c>
      <c r="F28" s="55">
        <v>4301.8500000000004</v>
      </c>
      <c r="G28" s="55">
        <v>0</v>
      </c>
      <c r="H28" s="55">
        <v>0</v>
      </c>
      <c r="I28" s="55">
        <v>47.89</v>
      </c>
      <c r="J28" s="55">
        <v>0</v>
      </c>
      <c r="K28" s="55">
        <v>5064.95</v>
      </c>
      <c r="L28" s="51"/>
      <c r="O28" s="83" t="s">
        <v>672</v>
      </c>
      <c r="P28" s="84">
        <v>4000</v>
      </c>
      <c r="Q28" s="85">
        <v>1.4</v>
      </c>
      <c r="R28" s="85">
        <v>1.8</v>
      </c>
      <c r="S28" s="85">
        <v>2</v>
      </c>
      <c r="T28" s="72">
        <f t="shared" si="0"/>
        <v>655998</v>
      </c>
      <c r="U28" s="73">
        <f t="shared" si="1"/>
        <v>6.0975795657913587E-3</v>
      </c>
    </row>
    <row r="29" spans="1:28" s="53" customFormat="1" ht="10.5" customHeight="1">
      <c r="A29" s="40" t="s">
        <v>658</v>
      </c>
      <c r="B29" s="55">
        <v>0</v>
      </c>
      <c r="C29" s="55">
        <v>0</v>
      </c>
      <c r="D29" s="55">
        <v>0</v>
      </c>
      <c r="E29" s="55">
        <v>3570.84</v>
      </c>
      <c r="F29" s="55">
        <v>88.15</v>
      </c>
      <c r="G29" s="55">
        <v>0</v>
      </c>
      <c r="H29" s="55">
        <v>0</v>
      </c>
      <c r="I29" s="55">
        <v>378.39</v>
      </c>
      <c r="J29" s="55">
        <v>316.24</v>
      </c>
      <c r="K29" s="55">
        <v>4353.6099999999997</v>
      </c>
      <c r="L29" s="51"/>
    </row>
    <row r="30" spans="1:28" s="53" customFormat="1" ht="10.5" customHeight="1">
      <c r="A30" s="40" t="s">
        <v>673</v>
      </c>
      <c r="B30" s="55">
        <v>0</v>
      </c>
      <c r="C30" s="55">
        <v>0</v>
      </c>
      <c r="D30" s="55">
        <v>0</v>
      </c>
      <c r="E30" s="55">
        <v>0</v>
      </c>
      <c r="F30" s="55">
        <v>6.64</v>
      </c>
      <c r="G30" s="55">
        <v>0</v>
      </c>
      <c r="H30" s="55">
        <v>0</v>
      </c>
      <c r="I30" s="55">
        <v>38.49</v>
      </c>
      <c r="J30" s="55">
        <v>0</v>
      </c>
      <c r="K30" s="55">
        <v>45.13</v>
      </c>
      <c r="L30" s="51"/>
    </row>
    <row r="31" spans="1:28" s="53" customFormat="1" ht="11.25" customHeight="1" thickBot="1">
      <c r="A31" s="40" t="s">
        <v>660</v>
      </c>
      <c r="B31" s="55">
        <v>0</v>
      </c>
      <c r="C31" s="55">
        <v>189.25</v>
      </c>
      <c r="D31" s="55">
        <v>0</v>
      </c>
      <c r="E31" s="55">
        <v>0</v>
      </c>
      <c r="F31" s="55">
        <v>0</v>
      </c>
      <c r="G31" s="55">
        <v>0</v>
      </c>
      <c r="H31" s="55">
        <v>0</v>
      </c>
      <c r="I31" s="55">
        <v>1.49</v>
      </c>
      <c r="J31" s="55">
        <v>0</v>
      </c>
      <c r="K31" s="55">
        <v>190.74</v>
      </c>
      <c r="L31" s="51"/>
      <c r="O31" s="53" t="s">
        <v>674</v>
      </c>
    </row>
    <row r="32" spans="1:28" s="53" customFormat="1" ht="10.5" customHeight="1" thickBot="1">
      <c r="A32" s="40" t="s">
        <v>662</v>
      </c>
      <c r="B32" s="55">
        <v>0</v>
      </c>
      <c r="C32" s="55">
        <v>279.04000000000002</v>
      </c>
      <c r="D32" s="55">
        <v>0</v>
      </c>
      <c r="E32" s="55">
        <v>0</v>
      </c>
      <c r="F32" s="55">
        <v>25</v>
      </c>
      <c r="G32" s="55">
        <v>0</v>
      </c>
      <c r="H32" s="55">
        <v>0</v>
      </c>
      <c r="I32" s="55">
        <v>18</v>
      </c>
      <c r="J32" s="55">
        <v>0</v>
      </c>
      <c r="K32" s="55">
        <v>322.04000000000002</v>
      </c>
      <c r="L32" s="51"/>
      <c r="O32" s="86"/>
      <c r="P32" s="87"/>
      <c r="Q32" s="939" t="s">
        <v>675</v>
      </c>
      <c r="R32" s="940"/>
      <c r="S32" s="940"/>
      <c r="T32" s="940"/>
      <c r="U32" s="941"/>
      <c r="V32" s="88"/>
      <c r="W32" s="88"/>
      <c r="X32" s="88"/>
      <c r="Y32" s="88"/>
      <c r="Z32" s="88"/>
      <c r="AA32" s="88"/>
      <c r="AB32" s="88"/>
    </row>
    <row r="33" spans="1:28" s="53" customFormat="1" ht="42" customHeight="1" thickBot="1">
      <c r="A33" s="40" t="s">
        <v>664</v>
      </c>
      <c r="B33" s="55">
        <v>0</v>
      </c>
      <c r="C33" s="55">
        <v>0</v>
      </c>
      <c r="D33" s="55">
        <v>0</v>
      </c>
      <c r="E33" s="55">
        <v>0</v>
      </c>
      <c r="F33" s="55">
        <v>0</v>
      </c>
      <c r="G33" s="55">
        <v>0</v>
      </c>
      <c r="H33" s="55">
        <v>0</v>
      </c>
      <c r="I33" s="55">
        <v>0</v>
      </c>
      <c r="J33" s="55">
        <v>0</v>
      </c>
      <c r="K33" s="55">
        <v>0</v>
      </c>
      <c r="L33" s="51"/>
      <c r="O33" s="89" t="s">
        <v>676</v>
      </c>
      <c r="P33" s="90"/>
      <c r="Q33" s="91" t="s">
        <v>677</v>
      </c>
      <c r="R33" s="91" t="s">
        <v>678</v>
      </c>
      <c r="S33" s="91" t="s">
        <v>145</v>
      </c>
      <c r="T33" s="91" t="s">
        <v>127</v>
      </c>
      <c r="U33" s="91" t="s">
        <v>679</v>
      </c>
      <c r="V33" s="92" t="s">
        <v>680</v>
      </c>
      <c r="W33" s="92" t="s">
        <v>129</v>
      </c>
      <c r="X33" s="92" t="s">
        <v>681</v>
      </c>
      <c r="Y33" s="91" t="s">
        <v>682</v>
      </c>
      <c r="Z33" s="92" t="s">
        <v>683</v>
      </c>
      <c r="AA33" s="92" t="s">
        <v>684</v>
      </c>
      <c r="AB33" s="93" t="s">
        <v>133</v>
      </c>
    </row>
    <row r="34" spans="1:28" s="53" customFormat="1" ht="10.5" customHeight="1" thickBot="1">
      <c r="A34" s="40" t="s">
        <v>685</v>
      </c>
      <c r="B34" s="55">
        <v>0</v>
      </c>
      <c r="C34" s="55">
        <v>0</v>
      </c>
      <c r="D34" s="55">
        <v>0</v>
      </c>
      <c r="E34" s="55">
        <v>0</v>
      </c>
      <c r="F34" s="55">
        <v>0</v>
      </c>
      <c r="G34" s="55">
        <v>0</v>
      </c>
      <c r="H34" s="55">
        <v>0</v>
      </c>
      <c r="I34" s="55">
        <v>90.72</v>
      </c>
      <c r="J34" s="55">
        <v>0</v>
      </c>
      <c r="K34" s="55">
        <v>90.72</v>
      </c>
      <c r="L34" s="51"/>
      <c r="O34" s="94" t="s">
        <v>152</v>
      </c>
      <c r="P34" s="95"/>
      <c r="Q34" s="96">
        <f t="shared" ref="Q34:Q39" si="2">Q52+U52</f>
        <v>42.356337583247949</v>
      </c>
      <c r="R34" s="97">
        <f t="shared" ref="R34:R39" si="3">R52+T52</f>
        <v>10.828545995763758</v>
      </c>
      <c r="S34" s="97"/>
      <c r="T34" s="98"/>
      <c r="U34" s="99">
        <f t="shared" ref="U34:U39" si="4">SUM(Q34:T34)</f>
        <v>53.184883579011711</v>
      </c>
      <c r="V34" s="100">
        <f t="shared" ref="V34:V39" si="5">Y52</f>
        <v>2.9572061047786442</v>
      </c>
      <c r="W34" s="97">
        <f t="shared" ref="W34:W39" si="6">X52</f>
        <v>35.077095124240969</v>
      </c>
      <c r="Y34" s="102">
        <f>U34+V34+W34+AA34</f>
        <v>96.513832310070967</v>
      </c>
      <c r="Z34" s="96"/>
      <c r="AA34" s="101">
        <f t="shared" ref="AA34:AA39" si="7">V52</f>
        <v>5.2946475020396573</v>
      </c>
      <c r="AB34" s="103">
        <f t="shared" ref="AB34:AB40" si="8">Y34+Z34+AA34</f>
        <v>101.80847981211062</v>
      </c>
    </row>
    <row r="35" spans="1:28" s="53" customFormat="1" ht="10.5" customHeight="1" thickBot="1">
      <c r="A35" s="40" t="s">
        <v>686</v>
      </c>
      <c r="B35" s="55">
        <v>0</v>
      </c>
      <c r="C35" s="55">
        <v>0</v>
      </c>
      <c r="D35" s="55">
        <v>0</v>
      </c>
      <c r="E35" s="55">
        <v>0</v>
      </c>
      <c r="F35" s="55">
        <v>531.77</v>
      </c>
      <c r="G35" s="55">
        <v>0</v>
      </c>
      <c r="H35" s="55">
        <v>0</v>
      </c>
      <c r="I35" s="55">
        <v>140.29</v>
      </c>
      <c r="J35" s="55">
        <v>0</v>
      </c>
      <c r="K35" s="55">
        <v>672.06</v>
      </c>
      <c r="L35" s="51"/>
      <c r="O35" s="94" t="s">
        <v>149</v>
      </c>
      <c r="P35" s="95"/>
      <c r="Q35" s="96">
        <f t="shared" si="2"/>
        <v>0</v>
      </c>
      <c r="R35" s="97">
        <f t="shared" si="3"/>
        <v>0</v>
      </c>
      <c r="S35" s="104"/>
      <c r="T35" s="105"/>
      <c r="U35" s="106">
        <f t="shared" si="4"/>
        <v>0</v>
      </c>
      <c r="V35" s="100">
        <f t="shared" si="5"/>
        <v>0</v>
      </c>
      <c r="W35" s="97">
        <f t="shared" si="6"/>
        <v>0</v>
      </c>
      <c r="X35" s="101"/>
      <c r="Y35" s="107">
        <f>U35+V35+W35+X35</f>
        <v>0</v>
      </c>
      <c r="Z35" s="108"/>
      <c r="AA35" s="101">
        <f t="shared" si="7"/>
        <v>0</v>
      </c>
      <c r="AB35" s="103">
        <f t="shared" si="8"/>
        <v>0</v>
      </c>
    </row>
    <row r="36" spans="1:28" s="53" customFormat="1" ht="10.5" customHeight="1" thickBot="1">
      <c r="A36" s="109" t="s">
        <v>687</v>
      </c>
      <c r="B36" s="76">
        <v>0</v>
      </c>
      <c r="C36" s="76">
        <v>95.94</v>
      </c>
      <c r="D36" s="76">
        <v>0</v>
      </c>
      <c r="E36" s="76">
        <v>0</v>
      </c>
      <c r="F36" s="76">
        <v>465.05</v>
      </c>
      <c r="G36" s="76">
        <v>0</v>
      </c>
      <c r="H36" s="76">
        <v>0</v>
      </c>
      <c r="I36" s="76">
        <v>2243.02</v>
      </c>
      <c r="J36" s="76">
        <v>0</v>
      </c>
      <c r="K36" s="76">
        <v>2804</v>
      </c>
      <c r="L36" s="51"/>
      <c r="O36" s="94" t="s">
        <v>202</v>
      </c>
      <c r="P36" s="95"/>
      <c r="Q36" s="96">
        <f t="shared" si="2"/>
        <v>2.9713380783701995</v>
      </c>
      <c r="R36" s="97">
        <f t="shared" si="3"/>
        <v>1.5131454793509511</v>
      </c>
      <c r="S36" s="104"/>
      <c r="T36" s="105"/>
      <c r="U36" s="106">
        <f t="shared" si="4"/>
        <v>4.4844835577211501</v>
      </c>
      <c r="V36" s="100">
        <f t="shared" si="5"/>
        <v>0</v>
      </c>
      <c r="W36" s="97">
        <f t="shared" si="6"/>
        <v>0.84027135224590965</v>
      </c>
      <c r="X36" s="101"/>
      <c r="Y36" s="107">
        <f>U36+V36+W36+X36</f>
        <v>5.3247549099670595</v>
      </c>
      <c r="Z36" s="108"/>
      <c r="AA36" s="101">
        <f t="shared" si="7"/>
        <v>0</v>
      </c>
      <c r="AB36" s="103">
        <f t="shared" si="8"/>
        <v>5.3247549099670595</v>
      </c>
    </row>
    <row r="37" spans="1:28" s="53" customFormat="1" ht="10.5" customHeight="1" thickBot="1">
      <c r="A37" s="110" t="s">
        <v>688</v>
      </c>
      <c r="B37" s="111">
        <v>1744.23</v>
      </c>
      <c r="C37" s="111">
        <v>527.65</v>
      </c>
      <c r="D37" s="111">
        <v>0</v>
      </c>
      <c r="E37" s="112">
        <v>71185.31</v>
      </c>
      <c r="F37" s="111">
        <v>43497.67</v>
      </c>
      <c r="G37" s="113">
        <v>4086.46</v>
      </c>
      <c r="H37" s="111">
        <v>0</v>
      </c>
      <c r="I37" s="111">
        <v>26142.17</v>
      </c>
      <c r="J37" s="111">
        <v>1239.3399999999999</v>
      </c>
      <c r="K37" s="113">
        <v>148422.81</v>
      </c>
      <c r="L37" s="51"/>
      <c r="O37" s="94" t="s">
        <v>689</v>
      </c>
      <c r="P37" s="95"/>
      <c r="Q37" s="96">
        <f t="shared" si="2"/>
        <v>7.3917597185307493E-2</v>
      </c>
      <c r="R37" s="97">
        <f t="shared" si="3"/>
        <v>373.53648601840558</v>
      </c>
      <c r="S37" s="104"/>
      <c r="T37" s="105"/>
      <c r="U37" s="106">
        <f t="shared" si="4"/>
        <v>373.61040361559088</v>
      </c>
      <c r="V37" s="100">
        <f t="shared" si="5"/>
        <v>0</v>
      </c>
      <c r="W37" s="97">
        <f t="shared" si="6"/>
        <v>2.7600693904554583</v>
      </c>
      <c r="X37" s="101"/>
      <c r="Y37" s="107">
        <f>U37+V37+W37+X37</f>
        <v>376.37047300604632</v>
      </c>
      <c r="Z37" s="108"/>
      <c r="AA37" s="101">
        <f t="shared" si="7"/>
        <v>6.9095158391162332</v>
      </c>
      <c r="AB37" s="103">
        <f t="shared" si="8"/>
        <v>383.27998884516256</v>
      </c>
    </row>
    <row r="38" spans="1:28" s="53" customFormat="1" ht="10.5" customHeight="1" thickBot="1">
      <c r="A38" s="50" t="s">
        <v>690</v>
      </c>
      <c r="B38" s="76">
        <v>1304.19</v>
      </c>
      <c r="C38" s="76">
        <v>314.37</v>
      </c>
      <c r="D38" s="76">
        <v>0</v>
      </c>
      <c r="E38" s="76">
        <v>2330.5300000000002</v>
      </c>
      <c r="F38" s="76">
        <v>8646.7000000000007</v>
      </c>
      <c r="G38" s="75">
        <v>1194.1400000000001</v>
      </c>
      <c r="H38" s="76">
        <v>0</v>
      </c>
      <c r="I38" s="76">
        <v>8023.73</v>
      </c>
      <c r="J38" s="76">
        <v>666.96</v>
      </c>
      <c r="K38" s="75">
        <v>22480.62</v>
      </c>
      <c r="L38" s="51"/>
      <c r="O38" s="114" t="s">
        <v>154</v>
      </c>
      <c r="P38" s="115"/>
      <c r="Q38" s="96">
        <f t="shared" si="2"/>
        <v>185.59387058475608</v>
      </c>
      <c r="R38" s="97">
        <f t="shared" si="3"/>
        <v>18.839389106402439</v>
      </c>
      <c r="S38" s="104"/>
      <c r="T38" s="105"/>
      <c r="U38" s="106">
        <f t="shared" si="4"/>
        <v>204.43325969115853</v>
      </c>
      <c r="V38" s="100">
        <f t="shared" si="5"/>
        <v>1.8102406256097561</v>
      </c>
      <c r="W38" s="97">
        <f t="shared" si="6"/>
        <v>64.56144926341463</v>
      </c>
      <c r="X38" s="101"/>
      <c r="Y38" s="107">
        <f>U38+V38+W38+X38</f>
        <v>270.80494958018289</v>
      </c>
      <c r="Z38" s="104"/>
      <c r="AA38" s="101">
        <f t="shared" si="7"/>
        <v>5.2255371768292678</v>
      </c>
      <c r="AB38" s="103">
        <f t="shared" si="8"/>
        <v>276.03048675701217</v>
      </c>
    </row>
    <row r="39" spans="1:28" s="53" customFormat="1" ht="10.5" customHeight="1" thickBot="1">
      <c r="A39" s="40" t="s">
        <v>691</v>
      </c>
      <c r="B39" s="55">
        <v>0</v>
      </c>
      <c r="C39" s="55">
        <v>0</v>
      </c>
      <c r="D39" s="55">
        <v>0</v>
      </c>
      <c r="E39" s="55">
        <v>1362.42</v>
      </c>
      <c r="F39" s="55">
        <v>0.79</v>
      </c>
      <c r="G39" s="56">
        <v>62.15</v>
      </c>
      <c r="H39" s="55">
        <v>0</v>
      </c>
      <c r="I39" s="55">
        <v>0</v>
      </c>
      <c r="J39" s="55">
        <v>0</v>
      </c>
      <c r="K39" s="56">
        <v>1425.36</v>
      </c>
      <c r="L39" s="51"/>
      <c r="O39" s="114" t="s">
        <v>692</v>
      </c>
      <c r="P39" s="116"/>
      <c r="Q39" s="96">
        <f t="shared" si="2"/>
        <v>78.055697031758044</v>
      </c>
      <c r="R39" s="97">
        <f t="shared" si="3"/>
        <v>99.398138257653855</v>
      </c>
      <c r="S39" s="117"/>
      <c r="T39" s="118"/>
      <c r="U39" s="119">
        <f t="shared" si="4"/>
        <v>177.4538352894119</v>
      </c>
      <c r="V39" s="100">
        <f t="shared" si="5"/>
        <v>2.8671859338190049</v>
      </c>
      <c r="W39" s="97">
        <f t="shared" si="6"/>
        <v>74.049560022186412</v>
      </c>
      <c r="X39" s="101"/>
      <c r="Y39" s="120">
        <f>U39+V39+W39+X39</f>
        <v>254.37058124541733</v>
      </c>
      <c r="Z39" s="121"/>
      <c r="AA39" s="101">
        <f t="shared" si="7"/>
        <v>9.3136435075223449</v>
      </c>
      <c r="AB39" s="103">
        <f t="shared" si="8"/>
        <v>263.68422475293966</v>
      </c>
    </row>
    <row r="40" spans="1:28" s="53" customFormat="1" ht="11.25" customHeight="1" thickBot="1">
      <c r="A40" s="40" t="s">
        <v>693</v>
      </c>
      <c r="B40" s="55">
        <v>24.51</v>
      </c>
      <c r="C40" s="55">
        <v>314.37</v>
      </c>
      <c r="D40" s="55">
        <v>0</v>
      </c>
      <c r="E40" s="55">
        <v>4.04</v>
      </c>
      <c r="F40" s="55">
        <v>382.08</v>
      </c>
      <c r="G40" s="55">
        <v>0</v>
      </c>
      <c r="H40" s="55">
        <v>0</v>
      </c>
      <c r="I40" s="55">
        <v>243.35</v>
      </c>
      <c r="J40" s="55">
        <v>0</v>
      </c>
      <c r="K40" s="55">
        <v>968.35</v>
      </c>
      <c r="L40" s="51"/>
      <c r="O40" s="122" t="s">
        <v>156</v>
      </c>
      <c r="P40" s="123"/>
      <c r="Q40" s="124">
        <f t="shared" ref="Q40:Z40" si="9">SUM(Q34:Q39)</f>
        <v>309.05116087531758</v>
      </c>
      <c r="R40" s="125">
        <f t="shared" si="9"/>
        <v>504.11570485757659</v>
      </c>
      <c r="S40" s="125">
        <f t="shared" si="9"/>
        <v>0</v>
      </c>
      <c r="T40" s="126">
        <f t="shared" si="9"/>
        <v>0</v>
      </c>
      <c r="U40" s="127">
        <f t="shared" si="9"/>
        <v>813.16686573289417</v>
      </c>
      <c r="V40" s="124">
        <f t="shared" si="9"/>
        <v>7.6346326642074054</v>
      </c>
      <c r="W40" s="125">
        <f t="shared" si="9"/>
        <v>177.28844515254337</v>
      </c>
      <c r="X40" s="126">
        <f t="shared" si="9"/>
        <v>0</v>
      </c>
      <c r="Y40" s="128">
        <f t="shared" si="9"/>
        <v>1003.3845910516845</v>
      </c>
      <c r="Z40" s="124">
        <f t="shared" si="9"/>
        <v>0</v>
      </c>
      <c r="AA40" s="126">
        <f>SUM(AA34:AA39)</f>
        <v>26.743344025507504</v>
      </c>
      <c r="AB40" s="103">
        <f t="shared" si="8"/>
        <v>1030.127935077192</v>
      </c>
    </row>
    <row r="41" spans="1:28" s="53" customFormat="1" ht="11.25" customHeight="1">
      <c r="A41" s="40" t="s">
        <v>694</v>
      </c>
      <c r="B41" s="55">
        <v>20.38</v>
      </c>
      <c r="C41" s="55">
        <v>0</v>
      </c>
      <c r="D41" s="55">
        <v>0</v>
      </c>
      <c r="E41" s="55">
        <v>7.57</v>
      </c>
      <c r="F41" s="55">
        <v>259.89</v>
      </c>
      <c r="G41" s="55">
        <v>0</v>
      </c>
      <c r="H41" s="55">
        <v>0</v>
      </c>
      <c r="I41" s="55">
        <v>387.52</v>
      </c>
      <c r="J41" s="55">
        <v>0</v>
      </c>
      <c r="K41" s="55">
        <v>675.37</v>
      </c>
      <c r="L41" s="51"/>
    </row>
    <row r="42" spans="1:28" s="53" customFormat="1" ht="10.5" customHeight="1">
      <c r="A42" s="40" t="s">
        <v>695</v>
      </c>
      <c r="B42" s="55">
        <v>556.54</v>
      </c>
      <c r="C42" s="55">
        <v>0</v>
      </c>
      <c r="D42" s="55">
        <v>0</v>
      </c>
      <c r="E42" s="55">
        <v>187.38</v>
      </c>
      <c r="F42" s="55">
        <v>1268.3900000000001</v>
      </c>
      <c r="G42" s="55">
        <v>269.56</v>
      </c>
      <c r="H42" s="55">
        <v>0</v>
      </c>
      <c r="I42" s="55">
        <v>536.51</v>
      </c>
      <c r="J42" s="55">
        <v>0</v>
      </c>
      <c r="K42" s="55">
        <v>2818.37</v>
      </c>
      <c r="L42" s="51"/>
      <c r="O42" s="129"/>
      <c r="P42" s="130" t="s">
        <v>696</v>
      </c>
      <c r="Q42" s="131" t="s">
        <v>137</v>
      </c>
      <c r="R42" s="131" t="s">
        <v>611</v>
      </c>
      <c r="S42" s="131" t="s">
        <v>612</v>
      </c>
      <c r="T42" s="131" t="s">
        <v>613</v>
      </c>
      <c r="U42" s="131" t="s">
        <v>614</v>
      </c>
      <c r="V42" s="131" t="s">
        <v>615</v>
      </c>
      <c r="W42" s="131" t="s">
        <v>616</v>
      </c>
      <c r="X42" s="131" t="s">
        <v>129</v>
      </c>
      <c r="Y42" s="131" t="s">
        <v>617</v>
      </c>
      <c r="Z42" s="131" t="s">
        <v>156</v>
      </c>
    </row>
    <row r="43" spans="1:28" s="53" customFormat="1" ht="10.5" customHeight="1">
      <c r="A43" s="40" t="s">
        <v>697</v>
      </c>
      <c r="B43" s="55">
        <v>55.18</v>
      </c>
      <c r="C43" s="55">
        <v>0</v>
      </c>
      <c r="D43" s="55">
        <v>0</v>
      </c>
      <c r="E43" s="55">
        <v>121.02</v>
      </c>
      <c r="F43" s="55">
        <v>1668.29</v>
      </c>
      <c r="G43" s="55">
        <v>53.63</v>
      </c>
      <c r="H43" s="55">
        <v>0</v>
      </c>
      <c r="I43" s="55">
        <v>1297.3399999999999</v>
      </c>
      <c r="J43" s="55">
        <v>251.9</v>
      </c>
      <c r="K43" s="55">
        <v>3447.37</v>
      </c>
      <c r="L43" s="51"/>
      <c r="O43" s="129" t="s">
        <v>152</v>
      </c>
      <c r="P43" s="132">
        <f>SUM(P11:P14)/SUM(T11:T14)</f>
        <v>4.4338582595337709E-3</v>
      </c>
      <c r="Q43" s="133">
        <f>B38-B51</f>
        <v>1299.96</v>
      </c>
      <c r="R43" s="133">
        <f t="shared" ref="R43:Z43" si="10">C38-C51</f>
        <v>314.37</v>
      </c>
      <c r="S43" s="133">
        <f t="shared" si="10"/>
        <v>0</v>
      </c>
      <c r="T43" s="133">
        <f t="shared" si="10"/>
        <v>2127.8700000000003</v>
      </c>
      <c r="U43" s="133">
        <f t="shared" si="10"/>
        <v>8252.9700000000012</v>
      </c>
      <c r="V43" s="133">
        <f t="shared" si="10"/>
        <v>1194.1400000000001</v>
      </c>
      <c r="W43" s="133">
        <f t="shared" si="10"/>
        <v>0</v>
      </c>
      <c r="X43" s="133">
        <f t="shared" si="10"/>
        <v>7911.19</v>
      </c>
      <c r="Y43" s="133">
        <f t="shared" si="10"/>
        <v>666.96</v>
      </c>
      <c r="Z43" s="133">
        <f t="shared" si="10"/>
        <v>21767.469999999998</v>
      </c>
    </row>
    <row r="44" spans="1:28" s="53" customFormat="1" ht="10.5" customHeight="1">
      <c r="A44" s="40" t="s">
        <v>698</v>
      </c>
      <c r="B44" s="55">
        <v>8.42</v>
      </c>
      <c r="C44" s="55">
        <v>0</v>
      </c>
      <c r="D44" s="55">
        <v>0</v>
      </c>
      <c r="E44" s="55">
        <v>0.38</v>
      </c>
      <c r="F44" s="55">
        <v>944.11</v>
      </c>
      <c r="G44" s="55">
        <v>1.52</v>
      </c>
      <c r="H44" s="55">
        <v>0</v>
      </c>
      <c r="I44" s="55">
        <v>533.95000000000005</v>
      </c>
      <c r="J44" s="55">
        <v>0</v>
      </c>
      <c r="K44" s="55">
        <v>1488.39</v>
      </c>
      <c r="L44" s="51"/>
      <c r="O44" s="129" t="s">
        <v>149</v>
      </c>
      <c r="P44" s="129">
        <v>0</v>
      </c>
      <c r="Q44" s="134">
        <f>B62</f>
        <v>0</v>
      </c>
      <c r="R44" s="134">
        <f t="shared" ref="R44:Z44" si="11">C62</f>
        <v>0</v>
      </c>
      <c r="S44" s="134">
        <f t="shared" si="11"/>
        <v>0</v>
      </c>
      <c r="T44" s="134">
        <f t="shared" si="11"/>
        <v>966.88</v>
      </c>
      <c r="U44" s="134">
        <f t="shared" si="11"/>
        <v>86.82</v>
      </c>
      <c r="V44" s="134">
        <f t="shared" si="11"/>
        <v>117.71</v>
      </c>
      <c r="W44" s="134">
        <f t="shared" si="11"/>
        <v>0</v>
      </c>
      <c r="X44" s="134">
        <f t="shared" si="11"/>
        <v>370.59</v>
      </c>
      <c r="Y44" s="134">
        <f t="shared" si="11"/>
        <v>0</v>
      </c>
      <c r="Z44" s="134">
        <f t="shared" si="11"/>
        <v>1542.01</v>
      </c>
    </row>
    <row r="45" spans="1:28" s="53" customFormat="1" ht="10.5" customHeight="1">
      <c r="A45" s="40" t="s">
        <v>699</v>
      </c>
      <c r="B45" s="55">
        <v>3.65</v>
      </c>
      <c r="C45" s="55">
        <v>0</v>
      </c>
      <c r="D45" s="55">
        <v>0</v>
      </c>
      <c r="E45" s="55">
        <v>0.91</v>
      </c>
      <c r="F45" s="55">
        <v>269.95999999999998</v>
      </c>
      <c r="G45" s="55">
        <v>0</v>
      </c>
      <c r="H45" s="55">
        <v>0</v>
      </c>
      <c r="I45" s="55">
        <v>520.94000000000005</v>
      </c>
      <c r="J45" s="55">
        <v>0</v>
      </c>
      <c r="K45" s="55">
        <v>795.46</v>
      </c>
      <c r="L45" s="51"/>
      <c r="O45" s="129" t="s">
        <v>150</v>
      </c>
      <c r="P45" s="132">
        <f>U15</f>
        <v>7.4664239581118683E-3</v>
      </c>
      <c r="Q45" s="129">
        <f>B51</f>
        <v>4.2300000000000004</v>
      </c>
      <c r="R45" s="129">
        <f t="shared" ref="R45:Z46" si="12">C51</f>
        <v>0</v>
      </c>
      <c r="S45" s="129">
        <f t="shared" si="12"/>
        <v>0</v>
      </c>
      <c r="T45" s="129">
        <f t="shared" si="12"/>
        <v>202.66</v>
      </c>
      <c r="U45" s="129">
        <f t="shared" si="12"/>
        <v>393.73</v>
      </c>
      <c r="V45" s="129">
        <f t="shared" si="12"/>
        <v>0</v>
      </c>
      <c r="W45" s="129">
        <f t="shared" si="12"/>
        <v>0</v>
      </c>
      <c r="X45" s="129">
        <f t="shared" si="12"/>
        <v>112.54</v>
      </c>
      <c r="Y45" s="129">
        <f t="shared" si="12"/>
        <v>0</v>
      </c>
      <c r="Z45" s="129">
        <f t="shared" si="12"/>
        <v>713.15</v>
      </c>
    </row>
    <row r="46" spans="1:28" s="53" customFormat="1" ht="10.5" customHeight="1">
      <c r="A46" s="40" t="s">
        <v>700</v>
      </c>
      <c r="B46" s="55">
        <v>41.76</v>
      </c>
      <c r="C46" s="55">
        <v>0</v>
      </c>
      <c r="D46" s="55">
        <v>0</v>
      </c>
      <c r="E46" s="55">
        <v>212.67</v>
      </c>
      <c r="F46" s="55">
        <v>544.12</v>
      </c>
      <c r="G46" s="55">
        <v>0</v>
      </c>
      <c r="H46" s="55">
        <v>0</v>
      </c>
      <c r="I46" s="55">
        <v>416.84</v>
      </c>
      <c r="J46" s="55">
        <v>0</v>
      </c>
      <c r="K46" s="55">
        <v>1215.3800000000001</v>
      </c>
      <c r="L46" s="51"/>
      <c r="O46" s="129" t="s">
        <v>689</v>
      </c>
      <c r="P46" s="132">
        <f>U17</f>
        <v>6.8442219616025451E-3</v>
      </c>
      <c r="Q46" s="133">
        <f>B52</f>
        <v>10.8</v>
      </c>
      <c r="R46" s="133">
        <f t="shared" si="12"/>
        <v>0</v>
      </c>
      <c r="S46" s="133">
        <f t="shared" si="12"/>
        <v>0</v>
      </c>
      <c r="T46" s="133">
        <f t="shared" si="12"/>
        <v>54576.91</v>
      </c>
      <c r="U46" s="133">
        <f t="shared" si="12"/>
        <v>0</v>
      </c>
      <c r="V46" s="133">
        <f t="shared" si="12"/>
        <v>1009.54</v>
      </c>
      <c r="W46" s="133">
        <f t="shared" si="12"/>
        <v>0</v>
      </c>
      <c r="X46" s="133">
        <f t="shared" si="12"/>
        <v>403.27</v>
      </c>
      <c r="Y46" s="133">
        <f t="shared" si="12"/>
        <v>0</v>
      </c>
      <c r="Z46" s="133">
        <f t="shared" si="12"/>
        <v>56000.53</v>
      </c>
    </row>
    <row r="47" spans="1:28" s="53" customFormat="1" ht="10.5" customHeight="1">
      <c r="A47" s="40" t="s">
        <v>701</v>
      </c>
      <c r="B47" s="55">
        <v>47.41</v>
      </c>
      <c r="C47" s="55">
        <v>0</v>
      </c>
      <c r="D47" s="55">
        <v>0</v>
      </c>
      <c r="E47" s="55">
        <v>113.17</v>
      </c>
      <c r="F47" s="55">
        <v>1642.6</v>
      </c>
      <c r="G47" s="55">
        <v>18.63</v>
      </c>
      <c r="H47" s="55">
        <v>0</v>
      </c>
      <c r="I47" s="55">
        <v>942.35</v>
      </c>
      <c r="J47" s="55">
        <v>0.38</v>
      </c>
      <c r="K47" s="55">
        <v>2764.54</v>
      </c>
      <c r="L47" s="51"/>
      <c r="O47" s="129" t="s">
        <v>182</v>
      </c>
      <c r="P47" s="132">
        <f>455966/65600000</f>
        <v>6.950701219512195E-3</v>
      </c>
      <c r="Q47" s="134">
        <f>B59</f>
        <v>400.95</v>
      </c>
      <c r="R47" s="134">
        <f t="shared" ref="R47:Z47" si="13">C59</f>
        <v>167.62</v>
      </c>
      <c r="S47" s="134">
        <f t="shared" si="13"/>
        <v>0</v>
      </c>
      <c r="T47" s="134">
        <f t="shared" si="13"/>
        <v>2542.81</v>
      </c>
      <c r="U47" s="134">
        <f t="shared" si="13"/>
        <v>26300.51</v>
      </c>
      <c r="V47" s="134">
        <f t="shared" si="13"/>
        <v>751.8</v>
      </c>
      <c r="W47" s="134">
        <f t="shared" si="13"/>
        <v>0</v>
      </c>
      <c r="X47" s="134">
        <f t="shared" si="13"/>
        <v>9288.48</v>
      </c>
      <c r="Y47" s="134">
        <f t="shared" si="13"/>
        <v>260.44</v>
      </c>
      <c r="Z47" s="134">
        <f t="shared" si="13"/>
        <v>39712.61</v>
      </c>
    </row>
    <row r="48" spans="1:28" s="53" customFormat="1" ht="10.5" customHeight="1">
      <c r="A48" s="40" t="s">
        <v>702</v>
      </c>
      <c r="B48" s="55">
        <v>50.01</v>
      </c>
      <c r="C48" s="55">
        <v>0</v>
      </c>
      <c r="D48" s="55">
        <v>0</v>
      </c>
      <c r="E48" s="55">
        <v>45.93</v>
      </c>
      <c r="F48" s="55">
        <v>250.28</v>
      </c>
      <c r="G48" s="55">
        <v>0</v>
      </c>
      <c r="H48" s="55">
        <v>0</v>
      </c>
      <c r="I48" s="55">
        <v>231.62</v>
      </c>
      <c r="J48" s="55">
        <v>0</v>
      </c>
      <c r="K48" s="55">
        <v>577.84</v>
      </c>
      <c r="L48" s="51"/>
      <c r="O48" s="129" t="s">
        <v>692</v>
      </c>
      <c r="P48" s="135">
        <f>(SUM(P18:P28)+P16)/(SUM(T18:T28)+T16)</f>
        <v>9.191760759846776E-3</v>
      </c>
      <c r="Q48" s="129">
        <f>B60+B61+B63+B64</f>
        <v>28.290000000000003</v>
      </c>
      <c r="R48" s="129">
        <f t="shared" ref="R48:Z48" si="14">C60+C61+C63+C64</f>
        <v>45.65</v>
      </c>
      <c r="S48" s="129">
        <f t="shared" si="14"/>
        <v>0</v>
      </c>
      <c r="T48" s="129">
        <f t="shared" si="14"/>
        <v>10768.18</v>
      </c>
      <c r="U48" s="129">
        <f t="shared" si="14"/>
        <v>8463.630000000001</v>
      </c>
      <c r="V48" s="129">
        <f t="shared" si="14"/>
        <v>1013.2600000000001</v>
      </c>
      <c r="W48" s="129">
        <f t="shared" si="14"/>
        <v>0</v>
      </c>
      <c r="X48" s="129">
        <f t="shared" si="14"/>
        <v>8056.08</v>
      </c>
      <c r="Y48" s="129">
        <f t="shared" si="14"/>
        <v>311.93</v>
      </c>
      <c r="Z48" s="129">
        <f t="shared" si="14"/>
        <v>28687.050000000003</v>
      </c>
    </row>
    <row r="49" spans="1:26" s="53" customFormat="1" ht="10.5" customHeight="1">
      <c r="A49" s="40" t="s">
        <v>703</v>
      </c>
      <c r="B49" s="55">
        <v>79.11</v>
      </c>
      <c r="C49" s="55">
        <v>0</v>
      </c>
      <c r="D49" s="55">
        <v>0</v>
      </c>
      <c r="E49" s="55">
        <v>33.03</v>
      </c>
      <c r="F49" s="55">
        <v>390.95</v>
      </c>
      <c r="G49" s="55">
        <v>470.42</v>
      </c>
      <c r="H49" s="55">
        <v>0</v>
      </c>
      <c r="I49" s="55">
        <v>908.33</v>
      </c>
      <c r="J49" s="55">
        <v>0</v>
      </c>
      <c r="K49" s="55">
        <v>1881.85</v>
      </c>
      <c r="L49" s="51"/>
      <c r="O49" s="129" t="s">
        <v>156</v>
      </c>
      <c r="P49" s="129"/>
      <c r="Q49" s="129">
        <f>SUM(Q43:Q48)</f>
        <v>1744.23</v>
      </c>
      <c r="R49" s="129">
        <f t="shared" ref="R49:Z49" si="15">SUM(R43:R48)</f>
        <v>527.64</v>
      </c>
      <c r="S49" s="129">
        <f t="shared" si="15"/>
        <v>0</v>
      </c>
      <c r="T49" s="129">
        <f t="shared" si="15"/>
        <v>71185.31</v>
      </c>
      <c r="U49" s="129">
        <f t="shared" si="15"/>
        <v>43497.66</v>
      </c>
      <c r="V49" s="129">
        <f t="shared" si="15"/>
        <v>4086.4500000000007</v>
      </c>
      <c r="W49" s="129">
        <f t="shared" si="15"/>
        <v>0</v>
      </c>
      <c r="X49" s="129">
        <f t="shared" si="15"/>
        <v>26142.15</v>
      </c>
      <c r="Y49" s="129">
        <f t="shared" si="15"/>
        <v>1239.3300000000002</v>
      </c>
      <c r="Z49" s="129">
        <f t="shared" si="15"/>
        <v>148422.82</v>
      </c>
    </row>
    <row r="50" spans="1:26" s="53" customFormat="1" ht="11.25" customHeight="1">
      <c r="A50" s="40" t="s">
        <v>704</v>
      </c>
      <c r="B50" s="55">
        <v>412.99</v>
      </c>
      <c r="C50" s="55">
        <v>0</v>
      </c>
      <c r="D50" s="55">
        <v>0</v>
      </c>
      <c r="E50" s="55">
        <v>39.32</v>
      </c>
      <c r="F50" s="55">
        <v>631.51</v>
      </c>
      <c r="G50" s="56">
        <v>318.23</v>
      </c>
      <c r="H50" s="55">
        <v>0</v>
      </c>
      <c r="I50" s="55">
        <v>1892.44</v>
      </c>
      <c r="J50" s="55">
        <v>414.68</v>
      </c>
      <c r="K50" s="56">
        <v>3709.18</v>
      </c>
      <c r="L50" s="51"/>
    </row>
    <row r="51" spans="1:26" s="53" customFormat="1" ht="11.25" customHeight="1">
      <c r="A51" s="40" t="s">
        <v>150</v>
      </c>
      <c r="B51" s="55">
        <v>4.2300000000000004</v>
      </c>
      <c r="C51" s="55">
        <v>0</v>
      </c>
      <c r="D51" s="55">
        <v>0</v>
      </c>
      <c r="E51" s="55">
        <v>202.66</v>
      </c>
      <c r="F51" s="55">
        <v>393.73</v>
      </c>
      <c r="G51" s="55">
        <v>0</v>
      </c>
      <c r="H51" s="55">
        <v>0</v>
      </c>
      <c r="I51" s="55">
        <v>112.54</v>
      </c>
      <c r="J51" s="76">
        <v>0</v>
      </c>
      <c r="K51" s="55">
        <v>713.15</v>
      </c>
      <c r="L51" s="51"/>
      <c r="O51" s="129"/>
      <c r="P51" s="129" t="s">
        <v>696</v>
      </c>
      <c r="Q51" s="136" t="s">
        <v>137</v>
      </c>
      <c r="R51" s="136" t="s">
        <v>611</v>
      </c>
      <c r="S51" s="136" t="s">
        <v>612</v>
      </c>
      <c r="T51" s="136" t="s">
        <v>613</v>
      </c>
      <c r="U51" s="136" t="s">
        <v>614</v>
      </c>
      <c r="V51" s="136" t="s">
        <v>615</v>
      </c>
      <c r="W51" s="136" t="s">
        <v>616</v>
      </c>
      <c r="X51" s="136" t="s">
        <v>129</v>
      </c>
      <c r="Y51" s="136" t="s">
        <v>617</v>
      </c>
      <c r="Z51" s="136" t="s">
        <v>156</v>
      </c>
    </row>
    <row r="52" spans="1:26" s="53" customFormat="1" ht="10.5" customHeight="1">
      <c r="A52" s="50" t="s">
        <v>705</v>
      </c>
      <c r="B52" s="76">
        <v>10.8</v>
      </c>
      <c r="C52" s="76">
        <v>0</v>
      </c>
      <c r="D52" s="76">
        <v>0</v>
      </c>
      <c r="E52" s="76">
        <v>54576.91</v>
      </c>
      <c r="F52" s="76">
        <v>0</v>
      </c>
      <c r="G52" s="76">
        <v>1009.54</v>
      </c>
      <c r="H52" s="55">
        <v>0</v>
      </c>
      <c r="I52" s="76">
        <v>403.27</v>
      </c>
      <c r="J52" s="76">
        <v>0</v>
      </c>
      <c r="K52" s="76">
        <v>56000.53</v>
      </c>
      <c r="L52" s="51"/>
      <c r="O52" s="129" t="s">
        <v>152</v>
      </c>
      <c r="P52" s="132">
        <f>P43</f>
        <v>4.4338582595337709E-3</v>
      </c>
      <c r="Q52" s="133">
        <f t="shared" ref="Q52:Q57" si="16">$P52*Q43</f>
        <v>5.7638383830635211</v>
      </c>
      <c r="R52" s="133">
        <f t="shared" ref="R52:Z57" si="17">$P52*R43</f>
        <v>1.3938720210496316</v>
      </c>
      <c r="S52" s="133">
        <f t="shared" si="17"/>
        <v>0</v>
      </c>
      <c r="T52" s="133">
        <f t="shared" si="17"/>
        <v>9.4346739747141264</v>
      </c>
      <c r="U52" s="133">
        <f t="shared" si="17"/>
        <v>36.592499200184427</v>
      </c>
      <c r="V52" s="133">
        <f t="shared" si="17"/>
        <v>5.2946475020396573</v>
      </c>
      <c r="W52" s="133">
        <f t="shared" si="17"/>
        <v>0</v>
      </c>
      <c r="X52" s="133">
        <f t="shared" si="17"/>
        <v>35.077095124240969</v>
      </c>
      <c r="Y52" s="133">
        <f t="shared" si="17"/>
        <v>2.9572061047786442</v>
      </c>
      <c r="Z52" s="133">
        <f t="shared" si="17"/>
        <v>96.513876648653564</v>
      </c>
    </row>
    <row r="53" spans="1:26" s="53" customFormat="1" ht="10.5" customHeight="1">
      <c r="A53" s="40" t="s">
        <v>706</v>
      </c>
      <c r="B53" s="55">
        <v>0</v>
      </c>
      <c r="C53" s="76">
        <v>0</v>
      </c>
      <c r="D53" s="76">
        <v>0</v>
      </c>
      <c r="E53" s="55">
        <v>12536.46</v>
      </c>
      <c r="F53" s="76">
        <v>0</v>
      </c>
      <c r="G53" s="76">
        <v>0</v>
      </c>
      <c r="H53" s="76">
        <v>0</v>
      </c>
      <c r="I53" s="76">
        <v>0</v>
      </c>
      <c r="J53" s="76">
        <v>0</v>
      </c>
      <c r="K53" s="55">
        <v>12536.46</v>
      </c>
      <c r="L53" s="51"/>
      <c r="O53" s="129" t="s">
        <v>149</v>
      </c>
      <c r="P53" s="132">
        <f t="shared" ref="P53:P58" si="18">P44</f>
        <v>0</v>
      </c>
      <c r="Q53" s="133">
        <f t="shared" si="16"/>
        <v>0</v>
      </c>
      <c r="R53" s="133">
        <f t="shared" si="17"/>
        <v>0</v>
      </c>
      <c r="S53" s="133">
        <f t="shared" si="17"/>
        <v>0</v>
      </c>
      <c r="T53" s="133">
        <f t="shared" si="17"/>
        <v>0</v>
      </c>
      <c r="U53" s="133">
        <f t="shared" si="17"/>
        <v>0</v>
      </c>
      <c r="V53" s="133">
        <f t="shared" si="17"/>
        <v>0</v>
      </c>
      <c r="W53" s="133">
        <f t="shared" si="17"/>
        <v>0</v>
      </c>
      <c r="X53" s="133">
        <f t="shared" si="17"/>
        <v>0</v>
      </c>
      <c r="Y53" s="133">
        <f t="shared" si="17"/>
        <v>0</v>
      </c>
      <c r="Z53" s="133">
        <f t="shared" si="17"/>
        <v>0</v>
      </c>
    </row>
    <row r="54" spans="1:26" s="53" customFormat="1" ht="10.5" customHeight="1">
      <c r="A54" s="40" t="s">
        <v>707</v>
      </c>
      <c r="B54" s="55">
        <v>10.8</v>
      </c>
      <c r="C54" s="76">
        <v>0</v>
      </c>
      <c r="D54" s="76">
        <v>0</v>
      </c>
      <c r="E54" s="55">
        <v>666.41</v>
      </c>
      <c r="F54" s="76">
        <v>0</v>
      </c>
      <c r="G54" s="76">
        <v>0</v>
      </c>
      <c r="H54" s="76">
        <v>0</v>
      </c>
      <c r="I54" s="55">
        <v>391.84</v>
      </c>
      <c r="J54" s="76">
        <v>0</v>
      </c>
      <c r="K54" s="55">
        <v>1069.05</v>
      </c>
      <c r="L54" s="51"/>
      <c r="O54" s="129" t="s">
        <v>150</v>
      </c>
      <c r="P54" s="132">
        <f t="shared" si="18"/>
        <v>7.4664239581118683E-3</v>
      </c>
      <c r="Q54" s="133">
        <f t="shared" si="16"/>
        <v>3.1582973342813209E-2</v>
      </c>
      <c r="R54" s="133">
        <f t="shared" si="17"/>
        <v>0</v>
      </c>
      <c r="S54" s="133">
        <f t="shared" si="17"/>
        <v>0</v>
      </c>
      <c r="T54" s="133">
        <f t="shared" si="17"/>
        <v>1.5131454793509511</v>
      </c>
      <c r="U54" s="133">
        <f t="shared" si="17"/>
        <v>2.9397551050273862</v>
      </c>
      <c r="V54" s="133">
        <f t="shared" si="17"/>
        <v>0</v>
      </c>
      <c r="W54" s="133">
        <f t="shared" si="17"/>
        <v>0</v>
      </c>
      <c r="X54" s="133">
        <f t="shared" si="17"/>
        <v>0.84027135224590965</v>
      </c>
      <c r="Y54" s="133">
        <f t="shared" si="17"/>
        <v>0</v>
      </c>
      <c r="Z54" s="133">
        <f t="shared" si="17"/>
        <v>5.3246802457274791</v>
      </c>
    </row>
    <row r="55" spans="1:26" s="53" customFormat="1" ht="10.5" customHeight="1">
      <c r="A55" s="40" t="s">
        <v>708</v>
      </c>
      <c r="B55" s="55">
        <v>0</v>
      </c>
      <c r="C55" s="76">
        <v>0</v>
      </c>
      <c r="D55" s="76">
        <v>0</v>
      </c>
      <c r="E55" s="55">
        <v>40429.269999999997</v>
      </c>
      <c r="F55" s="76">
        <v>0</v>
      </c>
      <c r="G55" s="55">
        <v>1009.54</v>
      </c>
      <c r="H55" s="76">
        <v>0</v>
      </c>
      <c r="I55" s="55">
        <v>11.43</v>
      </c>
      <c r="J55" s="76">
        <v>0</v>
      </c>
      <c r="K55" s="55">
        <v>41450.239999999998</v>
      </c>
      <c r="L55" s="51"/>
      <c r="O55" s="129" t="s">
        <v>689</v>
      </c>
      <c r="P55" s="132">
        <f t="shared" si="18"/>
        <v>6.8442219616025451E-3</v>
      </c>
      <c r="Q55" s="133">
        <f t="shared" si="16"/>
        <v>7.3917597185307493E-2</v>
      </c>
      <c r="R55" s="133">
        <f t="shared" si="17"/>
        <v>0</v>
      </c>
      <c r="S55" s="133">
        <f t="shared" si="17"/>
        <v>0</v>
      </c>
      <c r="T55" s="133">
        <f t="shared" si="17"/>
        <v>373.53648601840558</v>
      </c>
      <c r="U55" s="133">
        <f t="shared" si="17"/>
        <v>0</v>
      </c>
      <c r="V55" s="133">
        <f t="shared" si="17"/>
        <v>6.9095158391162332</v>
      </c>
      <c r="W55" s="133">
        <f t="shared" si="17"/>
        <v>0</v>
      </c>
      <c r="X55" s="133">
        <f t="shared" si="17"/>
        <v>2.7600693904554583</v>
      </c>
      <c r="Y55" s="133">
        <f t="shared" si="17"/>
        <v>0</v>
      </c>
      <c r="Z55" s="133">
        <f t="shared" si="17"/>
        <v>383.28005728738219</v>
      </c>
    </row>
    <row r="56" spans="1:26" s="53" customFormat="1" ht="10.5" customHeight="1">
      <c r="A56" s="40" t="s">
        <v>709</v>
      </c>
      <c r="B56" s="55">
        <v>0</v>
      </c>
      <c r="C56" s="76">
        <v>0</v>
      </c>
      <c r="D56" s="76">
        <v>0</v>
      </c>
      <c r="E56" s="55">
        <v>944.78</v>
      </c>
      <c r="F56" s="76">
        <v>0</v>
      </c>
      <c r="G56" s="76">
        <v>0</v>
      </c>
      <c r="H56" s="76">
        <v>0</v>
      </c>
      <c r="I56" s="76">
        <v>0</v>
      </c>
      <c r="J56" s="76">
        <v>0</v>
      </c>
      <c r="K56" s="55">
        <v>944.78</v>
      </c>
      <c r="L56" s="51"/>
      <c r="O56" s="129" t="s">
        <v>182</v>
      </c>
      <c r="P56" s="132">
        <f t="shared" si="18"/>
        <v>6.950701219512195E-3</v>
      </c>
      <c r="Q56" s="133">
        <f t="shared" si="16"/>
        <v>2.7868836539634145</v>
      </c>
      <c r="R56" s="133">
        <f t="shared" si="17"/>
        <v>1.1650765384146342</v>
      </c>
      <c r="S56" s="133">
        <f t="shared" si="17"/>
        <v>0</v>
      </c>
      <c r="T56" s="133">
        <f t="shared" si="17"/>
        <v>17.674312567987805</v>
      </c>
      <c r="U56" s="133">
        <f t="shared" si="17"/>
        <v>182.80698693079268</v>
      </c>
      <c r="V56" s="133">
        <f t="shared" si="17"/>
        <v>5.2255371768292678</v>
      </c>
      <c r="W56" s="133">
        <f t="shared" si="17"/>
        <v>0</v>
      </c>
      <c r="X56" s="133">
        <f t="shared" si="17"/>
        <v>64.56144926341463</v>
      </c>
      <c r="Y56" s="133">
        <f t="shared" si="17"/>
        <v>1.8102406256097561</v>
      </c>
      <c r="Z56" s="133">
        <f t="shared" si="17"/>
        <v>276.03048675701217</v>
      </c>
    </row>
    <row r="57" spans="1:26" s="53" customFormat="1" ht="10.5" customHeight="1">
      <c r="A57" s="40" t="s">
        <v>710</v>
      </c>
      <c r="B57" s="55">
        <v>0</v>
      </c>
      <c r="C57" s="55">
        <v>0</v>
      </c>
      <c r="D57" s="55">
        <v>0</v>
      </c>
      <c r="E57" s="55">
        <v>0</v>
      </c>
      <c r="F57" s="55">
        <v>0</v>
      </c>
      <c r="G57" s="55">
        <v>0</v>
      </c>
      <c r="H57" s="55">
        <v>0</v>
      </c>
      <c r="I57" s="55">
        <v>0</v>
      </c>
      <c r="J57" s="55">
        <v>0</v>
      </c>
      <c r="K57" s="55">
        <v>0</v>
      </c>
      <c r="L57" s="51"/>
      <c r="O57" s="129" t="s">
        <v>692</v>
      </c>
      <c r="P57" s="132">
        <f t="shared" si="18"/>
        <v>9.191760759846776E-3</v>
      </c>
      <c r="Q57" s="133">
        <f t="shared" si="16"/>
        <v>0.26003491189606531</v>
      </c>
      <c r="R57" s="133">
        <f t="shared" si="17"/>
        <v>0.41960387868700533</v>
      </c>
      <c r="S57" s="133">
        <f t="shared" si="17"/>
        <v>0</v>
      </c>
      <c r="T57" s="133">
        <f t="shared" si="17"/>
        <v>98.978534378966856</v>
      </c>
      <c r="U57" s="133">
        <f t="shared" si="17"/>
        <v>77.795662119861973</v>
      </c>
      <c r="V57" s="133">
        <f t="shared" si="17"/>
        <v>9.3136435075223449</v>
      </c>
      <c r="W57" s="133">
        <f t="shared" si="17"/>
        <v>0</v>
      </c>
      <c r="X57" s="133">
        <f t="shared" si="17"/>
        <v>74.049560022186412</v>
      </c>
      <c r="Y57" s="133">
        <f t="shared" si="17"/>
        <v>2.8671859338190049</v>
      </c>
      <c r="Z57" s="133">
        <f t="shared" si="17"/>
        <v>263.68450050576246</v>
      </c>
    </row>
    <row r="58" spans="1:26" s="53" customFormat="1" ht="10.5" customHeight="1">
      <c r="A58" s="50" t="s">
        <v>686</v>
      </c>
      <c r="B58" s="76">
        <v>429.23</v>
      </c>
      <c r="C58" s="76">
        <v>167.62</v>
      </c>
      <c r="D58" s="55">
        <v>0</v>
      </c>
      <c r="E58" s="76">
        <v>6328.91</v>
      </c>
      <c r="F58" s="76">
        <v>34411.68</v>
      </c>
      <c r="G58" s="75">
        <v>1882.78</v>
      </c>
      <c r="H58" s="76">
        <v>0</v>
      </c>
      <c r="I58" s="76">
        <v>17715.16</v>
      </c>
      <c r="J58" s="76">
        <v>572.37</v>
      </c>
      <c r="K58" s="75">
        <v>61507.76</v>
      </c>
      <c r="L58" s="51"/>
      <c r="O58" s="129" t="s">
        <v>156</v>
      </c>
      <c r="P58" s="132">
        <f t="shared" si="18"/>
        <v>0</v>
      </c>
      <c r="Q58" s="133">
        <f>SUM(Q52:Q57)</f>
        <v>8.9162575194511202</v>
      </c>
      <c r="R58" s="129">
        <f t="shared" ref="R58:Z58" si="19">SUM(R52:R57)</f>
        <v>2.9785524381512714</v>
      </c>
      <c r="S58" s="129">
        <f t="shared" si="19"/>
        <v>0</v>
      </c>
      <c r="T58" s="129">
        <f t="shared" si="19"/>
        <v>501.13715241942532</v>
      </c>
      <c r="U58" s="129">
        <f t="shared" si="19"/>
        <v>300.13490335586647</v>
      </c>
      <c r="V58" s="129">
        <f t="shared" si="19"/>
        <v>26.743344025507504</v>
      </c>
      <c r="W58" s="129">
        <f t="shared" si="19"/>
        <v>0</v>
      </c>
      <c r="X58" s="129">
        <f t="shared" si="19"/>
        <v>177.28844515254337</v>
      </c>
      <c r="Y58" s="129">
        <f t="shared" si="19"/>
        <v>7.6346326642074054</v>
      </c>
      <c r="Z58" s="129">
        <f t="shared" si="19"/>
        <v>1024.8336014445379</v>
      </c>
    </row>
    <row r="59" spans="1:26" s="53" customFormat="1" ht="10.5" customHeight="1">
      <c r="A59" s="40" t="s">
        <v>711</v>
      </c>
      <c r="B59" s="55">
        <v>400.95</v>
      </c>
      <c r="C59" s="55">
        <v>167.62</v>
      </c>
      <c r="D59" s="55">
        <v>0</v>
      </c>
      <c r="E59" s="55">
        <v>2542.81</v>
      </c>
      <c r="F59" s="55">
        <v>26300.51</v>
      </c>
      <c r="G59" s="56">
        <v>751.8</v>
      </c>
      <c r="H59" s="76">
        <v>0</v>
      </c>
      <c r="I59" s="55">
        <v>9288.48</v>
      </c>
      <c r="J59" s="55">
        <v>260.44</v>
      </c>
      <c r="K59" s="56">
        <v>39712.61</v>
      </c>
      <c r="L59" s="51"/>
    </row>
    <row r="60" spans="1:26" s="53" customFormat="1" ht="10.5" customHeight="1">
      <c r="A60" s="40" t="s">
        <v>712</v>
      </c>
      <c r="B60" s="55">
        <v>19.82</v>
      </c>
      <c r="C60" s="55">
        <v>0</v>
      </c>
      <c r="D60" s="55">
        <v>0</v>
      </c>
      <c r="E60" s="55">
        <v>789.34</v>
      </c>
      <c r="F60" s="55">
        <v>3221.89</v>
      </c>
      <c r="G60" s="55">
        <v>27.32</v>
      </c>
      <c r="H60" s="76">
        <v>0</v>
      </c>
      <c r="I60" s="55">
        <v>1694.57</v>
      </c>
      <c r="J60" s="55">
        <v>71.25</v>
      </c>
      <c r="K60" s="55">
        <v>5824.2</v>
      </c>
      <c r="L60" s="51"/>
    </row>
    <row r="61" spans="1:26" s="53" customFormat="1" ht="10.5" customHeight="1">
      <c r="A61" s="40" t="s">
        <v>713</v>
      </c>
      <c r="B61" s="55">
        <v>3.53</v>
      </c>
      <c r="C61" s="55">
        <v>0</v>
      </c>
      <c r="D61" s="55">
        <v>0</v>
      </c>
      <c r="E61" s="55">
        <v>1566.23</v>
      </c>
      <c r="F61" s="55">
        <v>3918.94</v>
      </c>
      <c r="G61" s="56">
        <v>985.5</v>
      </c>
      <c r="H61" s="76">
        <v>0</v>
      </c>
      <c r="I61" s="55">
        <v>6361.51</v>
      </c>
      <c r="J61" s="55">
        <v>240.68</v>
      </c>
      <c r="K61" s="56">
        <v>13076.41</v>
      </c>
      <c r="L61" s="51"/>
      <c r="O61" s="137" t="s">
        <v>714</v>
      </c>
    </row>
    <row r="62" spans="1:26" s="53" customFormat="1" ht="11.25" customHeight="1">
      <c r="A62" s="40" t="s">
        <v>149</v>
      </c>
      <c r="B62" s="55">
        <v>0</v>
      </c>
      <c r="C62" s="55">
        <v>0</v>
      </c>
      <c r="D62" s="55">
        <v>0</v>
      </c>
      <c r="E62" s="55">
        <v>966.88</v>
      </c>
      <c r="F62" s="55">
        <v>86.82</v>
      </c>
      <c r="G62" s="55">
        <v>117.71</v>
      </c>
      <c r="H62" s="76">
        <v>0</v>
      </c>
      <c r="I62" s="55">
        <v>370.59</v>
      </c>
      <c r="J62" s="55">
        <v>0</v>
      </c>
      <c r="K62" s="55">
        <v>1542.01</v>
      </c>
      <c r="L62" s="51"/>
    </row>
    <row r="63" spans="1:26" s="53" customFormat="1" ht="10.5" customHeight="1">
      <c r="A63" s="79" t="s">
        <v>39</v>
      </c>
      <c r="B63" s="80">
        <v>4.9400000000000004</v>
      </c>
      <c r="C63" s="80">
        <v>0</v>
      </c>
      <c r="D63" s="80">
        <v>0</v>
      </c>
      <c r="E63" s="55">
        <v>463.65</v>
      </c>
      <c r="F63" s="55">
        <v>883.52</v>
      </c>
      <c r="G63" s="80">
        <v>0.44</v>
      </c>
      <c r="H63" s="80">
        <v>0</v>
      </c>
      <c r="I63" s="80">
        <v>0</v>
      </c>
      <c r="J63" s="80">
        <v>0</v>
      </c>
      <c r="K63" s="55">
        <v>1352.54</v>
      </c>
      <c r="L63" s="51"/>
      <c r="O63" s="138">
        <v>11.63</v>
      </c>
    </row>
    <row r="64" spans="1:26" s="143" customFormat="1" ht="10.5" customHeight="1" thickBot="1">
      <c r="A64" s="139" t="s">
        <v>715</v>
      </c>
      <c r="B64" s="140">
        <v>0</v>
      </c>
      <c r="C64" s="141">
        <v>45.65</v>
      </c>
      <c r="D64" s="140">
        <v>0</v>
      </c>
      <c r="E64" s="141">
        <v>7948.96</v>
      </c>
      <c r="F64" s="141">
        <v>439.28</v>
      </c>
      <c r="G64" s="140">
        <v>0</v>
      </c>
      <c r="H64" s="140">
        <v>0</v>
      </c>
      <c r="I64" s="140">
        <v>0</v>
      </c>
      <c r="J64" s="140">
        <v>0</v>
      </c>
      <c r="K64" s="141">
        <v>8433.9</v>
      </c>
      <c r="L64" s="142"/>
    </row>
    <row r="65" spans="1:48" s="147" customFormat="1" ht="12" customHeight="1" thickTop="1" thickBot="1">
      <c r="A65" s="144" t="s">
        <v>716</v>
      </c>
      <c r="B65" s="145"/>
      <c r="C65" s="145"/>
      <c r="D65" s="145"/>
      <c r="E65" s="145"/>
      <c r="F65" s="145"/>
      <c r="G65" s="145"/>
      <c r="H65" s="146"/>
      <c r="I65" s="146"/>
      <c r="J65" s="146"/>
      <c r="K65" s="146"/>
      <c r="O65" s="53" t="s">
        <v>717</v>
      </c>
      <c r="P65" s="53"/>
      <c r="Q65" s="53"/>
      <c r="R65" s="53"/>
      <c r="S65" s="53"/>
      <c r="T65" s="53"/>
      <c r="U65" s="53"/>
      <c r="V65" s="53"/>
      <c r="W65" s="53"/>
      <c r="X65" s="53"/>
      <c r="Y65" s="53"/>
      <c r="Z65" s="53"/>
      <c r="AA65" s="53"/>
      <c r="AB65" s="53"/>
    </row>
    <row r="66" spans="1:48" s="147" customFormat="1" ht="10.35" customHeight="1" thickBot="1">
      <c r="A66" s="144" t="s">
        <v>718</v>
      </c>
      <c r="B66" s="145"/>
      <c r="C66" s="145"/>
      <c r="D66" s="145"/>
      <c r="E66" s="145"/>
      <c r="F66" s="145"/>
      <c r="G66" s="145"/>
      <c r="H66" s="146"/>
      <c r="I66" s="146"/>
      <c r="J66" s="146"/>
      <c r="K66" s="146"/>
      <c r="O66" s="86"/>
      <c r="P66" s="87"/>
      <c r="Q66" s="939" t="s">
        <v>675</v>
      </c>
      <c r="R66" s="940"/>
      <c r="S66" s="940"/>
      <c r="T66" s="940"/>
      <c r="U66" s="941"/>
      <c r="V66" s="88"/>
      <c r="W66" s="88"/>
      <c r="X66" s="88"/>
      <c r="Y66" s="88"/>
      <c r="Z66" s="88"/>
      <c r="AA66" s="88"/>
      <c r="AB66" s="88"/>
    </row>
    <row r="67" spans="1:48" s="147" customFormat="1" ht="10.35" customHeight="1" thickBot="1">
      <c r="A67" s="144" t="s">
        <v>719</v>
      </c>
      <c r="B67" s="145"/>
      <c r="C67" s="145"/>
      <c r="D67" s="145"/>
      <c r="E67" s="145"/>
      <c r="F67" s="145"/>
      <c r="G67" s="145"/>
      <c r="H67" s="146"/>
      <c r="I67" s="146"/>
      <c r="J67" s="146"/>
      <c r="K67" s="146"/>
      <c r="O67" s="89" t="s">
        <v>676</v>
      </c>
      <c r="P67" s="90"/>
      <c r="Q67" s="91" t="s">
        <v>677</v>
      </c>
      <c r="R67" s="91" t="s">
        <v>678</v>
      </c>
      <c r="S67" s="91" t="s">
        <v>145</v>
      </c>
      <c r="T67" s="91" t="s">
        <v>127</v>
      </c>
      <c r="U67" s="91" t="s">
        <v>679</v>
      </c>
      <c r="V67" s="92" t="s">
        <v>680</v>
      </c>
      <c r="W67" s="92" t="s">
        <v>129</v>
      </c>
      <c r="X67" s="92" t="s">
        <v>681</v>
      </c>
      <c r="Y67" s="91" t="s">
        <v>682</v>
      </c>
      <c r="Z67" s="92" t="s">
        <v>683</v>
      </c>
      <c r="AA67" s="92" t="s">
        <v>684</v>
      </c>
      <c r="AB67" s="93" t="s">
        <v>133</v>
      </c>
    </row>
    <row r="68" spans="1:48" s="147" customFormat="1" ht="10.35" customHeight="1" thickBot="1">
      <c r="A68" s="144" t="s">
        <v>720</v>
      </c>
      <c r="B68" s="145"/>
      <c r="C68" s="145"/>
      <c r="D68" s="145"/>
      <c r="E68" s="145"/>
      <c r="F68" s="145"/>
      <c r="G68" s="145"/>
      <c r="H68" s="146"/>
      <c r="I68" s="146"/>
      <c r="J68" s="146"/>
      <c r="K68" s="146"/>
      <c r="O68" s="94" t="s">
        <v>152</v>
      </c>
      <c r="P68" s="95"/>
      <c r="Q68" s="96">
        <f>Q34*$O$63</f>
        <v>492.60420609317367</v>
      </c>
      <c r="R68" s="96">
        <f>R34*$O$63</f>
        <v>125.93598993073252</v>
      </c>
      <c r="S68" s="97"/>
      <c r="T68" s="98"/>
      <c r="U68" s="99">
        <f t="shared" ref="U68:U73" si="20">SUM(Q68:T68)</f>
        <v>618.54019602390622</v>
      </c>
      <c r="V68" s="100">
        <f>V34*$O$63</f>
        <v>34.392306998575634</v>
      </c>
      <c r="W68" s="100">
        <f>W34*$O$63</f>
        <v>407.94661629492248</v>
      </c>
      <c r="X68" s="100"/>
      <c r="Y68" s="102">
        <f t="shared" ref="Y68:Y73" si="21">U68+V68+W68+X68</f>
        <v>1060.8791193174043</v>
      </c>
      <c r="Z68" s="96"/>
      <c r="AA68" s="98">
        <f t="shared" ref="AA68:AA73" si="22">AA34*$O$63</f>
        <v>61.576750448721221</v>
      </c>
      <c r="AB68" s="103">
        <f t="shared" ref="AB68:AB74" si="23">Y68+Z68+AA68</f>
        <v>1122.4558697661255</v>
      </c>
    </row>
    <row r="69" spans="1:48" s="147" customFormat="1" ht="10.35" customHeight="1" thickBot="1">
      <c r="A69" s="144" t="s">
        <v>721</v>
      </c>
      <c r="B69" s="145"/>
      <c r="C69" s="145"/>
      <c r="D69" s="145"/>
      <c r="E69" s="145"/>
      <c r="F69" s="145"/>
      <c r="G69" s="145"/>
      <c r="H69" s="146"/>
      <c r="I69" s="146"/>
      <c r="J69" s="146"/>
      <c r="K69" s="146"/>
      <c r="O69" s="94" t="s">
        <v>149</v>
      </c>
      <c r="P69" s="95"/>
      <c r="Q69" s="96">
        <f t="shared" ref="Q69:R73" si="24">Q35*$O$63</f>
        <v>0</v>
      </c>
      <c r="R69" s="96">
        <f t="shared" si="24"/>
        <v>0</v>
      </c>
      <c r="S69" s="104"/>
      <c r="T69" s="105"/>
      <c r="U69" s="106">
        <f t="shared" si="20"/>
        <v>0</v>
      </c>
      <c r="V69" s="100">
        <f t="shared" ref="V69:W73" si="25">V35*$O$63</f>
        <v>0</v>
      </c>
      <c r="W69" s="100">
        <f t="shared" si="25"/>
        <v>0</v>
      </c>
      <c r="X69" s="100"/>
      <c r="Y69" s="107">
        <f t="shared" si="21"/>
        <v>0</v>
      </c>
      <c r="Z69" s="108"/>
      <c r="AA69" s="98">
        <f t="shared" si="22"/>
        <v>0</v>
      </c>
      <c r="AB69" s="103">
        <f t="shared" si="23"/>
        <v>0</v>
      </c>
    </row>
    <row r="70" spans="1:48" s="147" customFormat="1" ht="10.35" customHeight="1" thickBot="1">
      <c r="A70" s="144" t="s">
        <v>722</v>
      </c>
      <c r="B70" s="145"/>
      <c r="C70" s="145"/>
      <c r="D70" s="145"/>
      <c r="E70" s="145"/>
      <c r="F70" s="145"/>
      <c r="G70" s="145"/>
      <c r="H70" s="146"/>
      <c r="I70" s="146"/>
      <c r="J70" s="146"/>
      <c r="K70" s="146"/>
      <c r="O70" s="94" t="s">
        <v>202</v>
      </c>
      <c r="P70" s="95"/>
      <c r="Q70" s="96">
        <f t="shared" si="24"/>
        <v>34.556661851445419</v>
      </c>
      <c r="R70" s="96">
        <f>R36*$O$63</f>
        <v>17.597881924851563</v>
      </c>
      <c r="S70" s="104"/>
      <c r="T70" s="105"/>
      <c r="U70" s="106">
        <f t="shared" si="20"/>
        <v>52.154543776296983</v>
      </c>
      <c r="V70" s="100">
        <f t="shared" si="25"/>
        <v>0</v>
      </c>
      <c r="W70" s="100">
        <f t="shared" si="25"/>
        <v>9.7723558266199291</v>
      </c>
      <c r="X70" s="100"/>
      <c r="Y70" s="107">
        <f t="shared" si="21"/>
        <v>61.926899602916912</v>
      </c>
      <c r="Z70" s="108"/>
      <c r="AA70" s="98">
        <f t="shared" si="22"/>
        <v>0</v>
      </c>
      <c r="AB70" s="103">
        <f t="shared" si="23"/>
        <v>61.926899602916912</v>
      </c>
    </row>
    <row r="71" spans="1:48" s="147" customFormat="1" ht="10.35" customHeight="1" thickBot="1">
      <c r="A71" s="144" t="s">
        <v>723</v>
      </c>
      <c r="B71" s="145"/>
      <c r="C71" s="145"/>
      <c r="D71" s="145"/>
      <c r="E71" s="145"/>
      <c r="F71" s="145"/>
      <c r="G71" s="145"/>
      <c r="H71" s="146"/>
      <c r="I71" s="146"/>
      <c r="J71" s="146"/>
      <c r="K71" s="146"/>
      <c r="O71" s="94" t="s">
        <v>689</v>
      </c>
      <c r="P71" s="95"/>
      <c r="Q71" s="96">
        <f t="shared" si="24"/>
        <v>0.85966165526512617</v>
      </c>
      <c r="R71" s="96">
        <f t="shared" si="24"/>
        <v>4344.2293323940576</v>
      </c>
      <c r="S71" s="104"/>
      <c r="T71" s="105"/>
      <c r="U71" s="106">
        <f t="shared" si="20"/>
        <v>4345.0889940493225</v>
      </c>
      <c r="V71" s="100">
        <f t="shared" si="25"/>
        <v>0</v>
      </c>
      <c r="W71" s="100">
        <f t="shared" si="25"/>
        <v>32.099607010996984</v>
      </c>
      <c r="X71" s="100"/>
      <c r="Y71" s="107">
        <f t="shared" si="21"/>
        <v>4377.1886010603193</v>
      </c>
      <c r="Z71" s="108"/>
      <c r="AA71" s="98">
        <f t="shared" si="22"/>
        <v>80.357669208921791</v>
      </c>
      <c r="AB71" s="103">
        <f t="shared" si="23"/>
        <v>4457.5462702692412</v>
      </c>
    </row>
    <row r="72" spans="1:48" ht="13.9" thickBot="1">
      <c r="H72" s="147"/>
      <c r="I72" s="147"/>
      <c r="J72" s="147"/>
      <c r="K72" s="147"/>
      <c r="L72" s="147"/>
      <c r="M72" s="147"/>
      <c r="O72" s="114" t="s">
        <v>154</v>
      </c>
      <c r="P72" s="115"/>
      <c r="Q72" s="96">
        <f t="shared" si="24"/>
        <v>2158.4567149007135</v>
      </c>
      <c r="R72" s="96">
        <f t="shared" si="24"/>
        <v>219.10209530746039</v>
      </c>
      <c r="S72" s="104"/>
      <c r="T72" s="105"/>
      <c r="U72" s="106">
        <f t="shared" si="20"/>
        <v>2377.5588102081738</v>
      </c>
      <c r="V72" s="100">
        <f t="shared" si="25"/>
        <v>21.053098475841466</v>
      </c>
      <c r="W72" s="100">
        <f t="shared" si="25"/>
        <v>750.84965493351217</v>
      </c>
      <c r="X72" s="100"/>
      <c r="Y72" s="107">
        <f t="shared" si="21"/>
        <v>3149.4615636175276</v>
      </c>
      <c r="Z72" s="104"/>
      <c r="AA72" s="98">
        <f t="shared" si="22"/>
        <v>60.772997366524386</v>
      </c>
      <c r="AB72" s="103">
        <f t="shared" si="23"/>
        <v>3210.2345609840522</v>
      </c>
    </row>
    <row r="73" spans="1:48" ht="13.9" thickBot="1">
      <c r="H73" s="147"/>
      <c r="I73" s="147"/>
      <c r="J73" s="147"/>
      <c r="K73" s="147"/>
      <c r="L73" s="147"/>
      <c r="M73" s="147"/>
      <c r="O73" s="114" t="s">
        <v>692</v>
      </c>
      <c r="P73" s="116"/>
      <c r="Q73" s="96">
        <f t="shared" si="24"/>
        <v>907.78775647934606</v>
      </c>
      <c r="R73" s="96">
        <f t="shared" si="24"/>
        <v>1156.0003479365143</v>
      </c>
      <c r="S73" s="117"/>
      <c r="T73" s="118"/>
      <c r="U73" s="119">
        <f t="shared" si="20"/>
        <v>2063.7881044158603</v>
      </c>
      <c r="V73" s="100">
        <f t="shared" si="25"/>
        <v>33.345372410315029</v>
      </c>
      <c r="W73" s="100">
        <f t="shared" si="25"/>
        <v>861.196383058028</v>
      </c>
      <c r="X73" s="100"/>
      <c r="Y73" s="120">
        <f t="shared" si="21"/>
        <v>2958.3298598842034</v>
      </c>
      <c r="Z73" s="121"/>
      <c r="AA73" s="98">
        <f t="shared" si="22"/>
        <v>108.31767399248488</v>
      </c>
      <c r="AB73" s="103">
        <f t="shared" si="23"/>
        <v>3066.6475338766882</v>
      </c>
    </row>
    <row r="74" spans="1:48" ht="13.9" thickBot="1">
      <c r="H74" s="147"/>
      <c r="I74" s="147"/>
      <c r="J74" s="147"/>
      <c r="K74" s="147"/>
      <c r="L74" s="147"/>
      <c r="M74" s="147"/>
      <c r="O74" s="122" t="s">
        <v>156</v>
      </c>
      <c r="P74" s="123"/>
      <c r="Q74" s="124">
        <f t="shared" ref="Q74:AA74" si="26">SUM(Q68:Q73)</f>
        <v>3594.2650009799436</v>
      </c>
      <c r="R74" s="125">
        <f t="shared" si="26"/>
        <v>5862.8656474936161</v>
      </c>
      <c r="S74" s="125">
        <f t="shared" si="26"/>
        <v>0</v>
      </c>
      <c r="T74" s="126">
        <f t="shared" si="26"/>
        <v>0</v>
      </c>
      <c r="U74" s="127">
        <f t="shared" si="26"/>
        <v>9457.1306484735596</v>
      </c>
      <c r="V74" s="124">
        <f t="shared" si="26"/>
        <v>88.790777884732137</v>
      </c>
      <c r="W74" s="125">
        <f t="shared" si="26"/>
        <v>2061.8646171240798</v>
      </c>
      <c r="X74" s="126">
        <f t="shared" si="26"/>
        <v>0</v>
      </c>
      <c r="Y74" s="128">
        <f t="shared" si="26"/>
        <v>11607.786043482371</v>
      </c>
      <c r="Z74" s="124">
        <f t="shared" si="26"/>
        <v>0</v>
      </c>
      <c r="AA74" s="126">
        <f t="shared" si="26"/>
        <v>311.02509101665225</v>
      </c>
      <c r="AB74" s="103">
        <f t="shared" si="23"/>
        <v>11918.811134499023</v>
      </c>
    </row>
    <row r="75" spans="1:48">
      <c r="H75" s="147"/>
      <c r="I75" s="147"/>
      <c r="J75" s="147"/>
      <c r="K75" s="147"/>
      <c r="L75" s="147"/>
      <c r="M75" s="147"/>
      <c r="O75" s="173"/>
      <c r="P75" s="173"/>
      <c r="Q75" s="174"/>
      <c r="R75" s="174"/>
      <c r="S75" s="174"/>
      <c r="T75" s="174"/>
      <c r="U75" s="175"/>
      <c r="V75" s="174"/>
      <c r="W75" s="174"/>
      <c r="X75" s="174"/>
      <c r="Y75" s="176"/>
      <c r="Z75" s="174"/>
      <c r="AA75" s="174"/>
      <c r="AB75" s="177"/>
    </row>
    <row r="77" spans="1:48">
      <c r="O77" s="34" t="s">
        <v>630</v>
      </c>
      <c r="P77" s="34" t="s">
        <v>724</v>
      </c>
    </row>
    <row r="78" spans="1:48">
      <c r="O78" s="164" t="s">
        <v>725</v>
      </c>
      <c r="P78" s="164"/>
      <c r="Q78" s="165"/>
      <c r="R78" s="165"/>
      <c r="S78" s="165"/>
      <c r="T78" s="166"/>
      <c r="U78" s="166"/>
      <c r="V78" s="165"/>
      <c r="W78" s="165"/>
      <c r="X78" s="166"/>
      <c r="Y78" s="164"/>
      <c r="Z78" s="165"/>
      <c r="AA78" s="165"/>
      <c r="AB78" s="164"/>
      <c r="AC78" s="164"/>
      <c r="AD78" s="164"/>
      <c r="AE78" s="164"/>
      <c r="AF78" s="164"/>
      <c r="AG78" s="164"/>
      <c r="AH78" s="164"/>
      <c r="AI78" s="164"/>
      <c r="AJ78" s="164"/>
      <c r="AK78" s="164"/>
      <c r="AL78" s="164"/>
      <c r="AM78" s="164"/>
      <c r="AN78" s="164"/>
      <c r="AO78" s="164"/>
      <c r="AP78" s="165"/>
      <c r="AQ78" s="164"/>
      <c r="AR78" s="164"/>
      <c r="AS78" s="164"/>
      <c r="AT78" s="164"/>
      <c r="AU78" s="164"/>
      <c r="AV78" s="164"/>
    </row>
    <row r="79" spans="1:48" ht="30" customHeight="1">
      <c r="O79" s="156"/>
      <c r="P79" s="156"/>
      <c r="Q79" s="157"/>
      <c r="R79" s="157"/>
      <c r="S79" s="157"/>
      <c r="T79" s="158"/>
      <c r="U79" s="158"/>
      <c r="V79" s="157"/>
      <c r="W79" s="157"/>
      <c r="X79" s="158"/>
      <c r="Y79" s="156"/>
      <c r="Z79" s="159"/>
      <c r="AA79" s="159"/>
      <c r="AB79" s="156"/>
      <c r="AC79" s="164"/>
      <c r="AD79" s="164"/>
      <c r="AE79" s="164"/>
      <c r="AF79" s="156"/>
      <c r="AG79" s="156"/>
      <c r="AH79" s="156"/>
      <c r="AI79" s="156"/>
      <c r="AJ79" s="156"/>
      <c r="AK79" s="156"/>
      <c r="AL79" s="156"/>
      <c r="AM79" s="156"/>
      <c r="AN79" s="156"/>
      <c r="AO79" s="156"/>
      <c r="AP79" s="159"/>
      <c r="AQ79" s="156"/>
      <c r="AR79" s="156"/>
      <c r="AS79" s="156"/>
      <c r="AT79" s="156"/>
      <c r="AU79" s="156"/>
      <c r="AV79" s="160" t="s">
        <v>726</v>
      </c>
    </row>
    <row r="80" spans="1:48" ht="27" customHeight="1">
      <c r="O80" s="161"/>
      <c r="P80" s="161"/>
      <c r="Q80" s="942" t="s">
        <v>727</v>
      </c>
      <c r="R80" s="942"/>
      <c r="S80" s="942"/>
      <c r="T80" s="942"/>
      <c r="U80" s="167"/>
      <c r="V80" s="942" t="s">
        <v>728</v>
      </c>
      <c r="W80" s="942"/>
      <c r="X80" s="942"/>
      <c r="Y80" s="168"/>
      <c r="Z80" s="938" t="s">
        <v>729</v>
      </c>
      <c r="AA80" s="938"/>
      <c r="AB80" s="938"/>
      <c r="AC80" s="938"/>
      <c r="AD80" s="938"/>
      <c r="AE80" s="938"/>
      <c r="AF80" s="938"/>
      <c r="AG80" s="168"/>
      <c r="AH80" s="938" t="s">
        <v>730</v>
      </c>
      <c r="AI80" s="938"/>
      <c r="AJ80" s="938"/>
      <c r="AK80" s="168"/>
      <c r="AL80" s="938" t="s">
        <v>129</v>
      </c>
      <c r="AM80" s="938"/>
      <c r="AN80" s="938"/>
      <c r="AO80" s="168"/>
      <c r="AP80" s="162" t="s">
        <v>731</v>
      </c>
      <c r="AQ80" s="168"/>
      <c r="AR80" s="155" t="s">
        <v>732</v>
      </c>
      <c r="AS80" s="168"/>
      <c r="AT80" s="938" t="s">
        <v>733</v>
      </c>
      <c r="AU80" s="938"/>
      <c r="AV80" s="938"/>
    </row>
    <row r="81" spans="15:48" ht="66">
      <c r="O81" s="169" t="s">
        <v>734</v>
      </c>
      <c r="P81" s="163" t="s">
        <v>735</v>
      </c>
      <c r="Q81" s="170" t="s">
        <v>736</v>
      </c>
      <c r="R81" s="170" t="s">
        <v>711</v>
      </c>
      <c r="S81" s="170" t="s">
        <v>707</v>
      </c>
      <c r="T81" s="170" t="s">
        <v>156</v>
      </c>
      <c r="U81" s="170"/>
      <c r="V81" s="170" t="s">
        <v>737</v>
      </c>
      <c r="W81" s="170" t="s">
        <v>711</v>
      </c>
      <c r="X81" s="170" t="s">
        <v>156</v>
      </c>
      <c r="Y81" s="169"/>
      <c r="Z81" s="169" t="s">
        <v>736</v>
      </c>
      <c r="AA81" s="169" t="s">
        <v>711</v>
      </c>
      <c r="AB81" s="169" t="s">
        <v>738</v>
      </c>
      <c r="AC81" s="169" t="s">
        <v>707</v>
      </c>
      <c r="AD81" s="169" t="s">
        <v>739</v>
      </c>
      <c r="AE81" s="169" t="s">
        <v>149</v>
      </c>
      <c r="AF81" s="169" t="s">
        <v>156</v>
      </c>
      <c r="AG81" s="169"/>
      <c r="AH81" s="169" t="s">
        <v>736</v>
      </c>
      <c r="AI81" s="169" t="s">
        <v>711</v>
      </c>
      <c r="AJ81" s="169" t="s">
        <v>156</v>
      </c>
      <c r="AK81" s="169"/>
      <c r="AL81" s="169" t="s">
        <v>736</v>
      </c>
      <c r="AM81" s="169" t="s">
        <v>711</v>
      </c>
      <c r="AN81" s="169" t="s">
        <v>156</v>
      </c>
      <c r="AO81" s="169"/>
      <c r="AP81" s="169" t="s">
        <v>156</v>
      </c>
      <c r="AQ81" s="169"/>
      <c r="AR81" s="169" t="s">
        <v>156</v>
      </c>
      <c r="AS81" s="169"/>
      <c r="AT81" s="169" t="s">
        <v>740</v>
      </c>
      <c r="AU81" s="169" t="s">
        <v>711</v>
      </c>
      <c r="AV81" s="169" t="s">
        <v>741</v>
      </c>
    </row>
    <row r="82" spans="15:48">
      <c r="O82" s="150" t="s">
        <v>742</v>
      </c>
      <c r="P82" s="151" t="s">
        <v>743</v>
      </c>
      <c r="Q82" s="148">
        <v>0</v>
      </c>
      <c r="R82" s="148">
        <v>13.375534034999999</v>
      </c>
      <c r="S82" s="148">
        <v>0</v>
      </c>
      <c r="T82" s="154">
        <v>13.375534034999999</v>
      </c>
      <c r="U82" s="148"/>
      <c r="V82" s="148">
        <v>5.1392302438000002</v>
      </c>
      <c r="W82" s="148">
        <v>11.516745909000001</v>
      </c>
      <c r="X82" s="154">
        <v>16.655976152000001</v>
      </c>
      <c r="Y82" s="148"/>
      <c r="Z82" s="148">
        <v>131.44566438999999</v>
      </c>
      <c r="AA82" s="148">
        <v>14.664461581999999</v>
      </c>
      <c r="AB82" s="148">
        <v>1836.6673418</v>
      </c>
      <c r="AC82" s="148">
        <v>22.164353469999998</v>
      </c>
      <c r="AD82" s="148">
        <v>3.5650308342999999</v>
      </c>
      <c r="AE82" s="148">
        <v>4.3628771068000001</v>
      </c>
      <c r="AF82" s="154">
        <v>2012.8697291999999</v>
      </c>
      <c r="AG82" s="148"/>
      <c r="AH82" s="148">
        <v>728.54196063999996</v>
      </c>
      <c r="AI82" s="148">
        <v>1937.6123474999999</v>
      </c>
      <c r="AJ82" s="154">
        <v>2666.1543084999998</v>
      </c>
      <c r="AK82" s="148"/>
      <c r="AL82" s="148">
        <v>1084.3911286</v>
      </c>
      <c r="AM82" s="148">
        <v>693.47103813000001</v>
      </c>
      <c r="AN82" s="154">
        <v>1777.8621668999999</v>
      </c>
      <c r="AO82" s="148"/>
      <c r="AP82" s="154">
        <v>404.73895792000002</v>
      </c>
      <c r="AQ82" s="149"/>
      <c r="AR82" s="152">
        <v>6891.6566726000001</v>
      </c>
      <c r="AS82" s="153"/>
      <c r="AT82" s="148">
        <v>1957.4458918</v>
      </c>
      <c r="AU82" s="148">
        <v>2670.6401271999998</v>
      </c>
      <c r="AV82" s="149">
        <v>1858.8316953000001</v>
      </c>
    </row>
    <row r="83" spans="15:48" ht="13.9" thickBot="1"/>
    <row r="84" spans="15:48" ht="13.9" thickBot="1">
      <c r="O84" s="86"/>
      <c r="P84" s="87"/>
      <c r="Q84" s="939" t="s">
        <v>675</v>
      </c>
      <c r="R84" s="940"/>
      <c r="S84" s="940"/>
      <c r="T84" s="940"/>
      <c r="U84" s="941"/>
      <c r="V84" s="88"/>
      <c r="W84" s="88"/>
      <c r="X84" s="88"/>
      <c r="Y84" s="88"/>
      <c r="Z84" s="88"/>
      <c r="AA84" s="88"/>
      <c r="AB84" s="88"/>
    </row>
    <row r="85" spans="15:48" ht="36.6" thickBot="1">
      <c r="O85" s="89" t="s">
        <v>676</v>
      </c>
      <c r="P85" s="90"/>
      <c r="Q85" s="91" t="s">
        <v>677</v>
      </c>
      <c r="R85" s="91" t="s">
        <v>678</v>
      </c>
      <c r="S85" s="91" t="s">
        <v>145</v>
      </c>
      <c r="T85" s="91" t="s">
        <v>127</v>
      </c>
      <c r="U85" s="91" t="s">
        <v>679</v>
      </c>
      <c r="V85" s="92" t="s">
        <v>680</v>
      </c>
      <c r="W85" s="92" t="s">
        <v>129</v>
      </c>
      <c r="X85" s="92" t="s">
        <v>681</v>
      </c>
      <c r="Y85" s="91" t="s">
        <v>682</v>
      </c>
      <c r="Z85" s="92" t="s">
        <v>683</v>
      </c>
      <c r="AA85" s="92" t="s">
        <v>684</v>
      </c>
      <c r="AB85" s="93" t="s">
        <v>133</v>
      </c>
    </row>
    <row r="86" spans="15:48" ht="13.9" thickBot="1">
      <c r="O86" s="94" t="s">
        <v>152</v>
      </c>
      <c r="P86" s="95"/>
      <c r="Q86" s="171">
        <f>V82+AH82</f>
        <v>733.6811908837999</v>
      </c>
      <c r="R86" s="171">
        <f>Z82</f>
        <v>131.44566438999999</v>
      </c>
      <c r="S86" s="97"/>
      <c r="T86" s="98"/>
      <c r="U86" s="99">
        <f t="shared" ref="U86:U91" si="27">SUM(Q86:T86)</f>
        <v>865.12685527379995</v>
      </c>
      <c r="V86" s="100"/>
      <c r="W86" s="172">
        <f>AL82</f>
        <v>1084.3911286</v>
      </c>
      <c r="X86" s="100"/>
      <c r="Y86" s="102">
        <f t="shared" ref="Y86:Y91" si="28">U86+V86+W86+X86</f>
        <v>1949.5179838737999</v>
      </c>
      <c r="Z86" s="96"/>
      <c r="AA86" s="98"/>
      <c r="AB86" s="103">
        <f t="shared" ref="AB86:AB92" si="29">Y86+Z86+AA86</f>
        <v>1949.5179838737999</v>
      </c>
    </row>
    <row r="87" spans="15:48" ht="13.9" thickBot="1">
      <c r="O87" s="94" t="s">
        <v>149</v>
      </c>
      <c r="P87" s="95"/>
      <c r="Q87" s="96"/>
      <c r="R87" s="171">
        <f>AE82</f>
        <v>4.3628771068000001</v>
      </c>
      <c r="S87" s="104"/>
      <c r="T87" s="105"/>
      <c r="U87" s="106">
        <f t="shared" si="27"/>
        <v>4.3628771068000001</v>
      </c>
      <c r="V87" s="100"/>
      <c r="W87" s="100"/>
      <c r="X87" s="100"/>
      <c r="Y87" s="107">
        <f t="shared" si="28"/>
        <v>4.3628771068000001</v>
      </c>
      <c r="Z87" s="108"/>
      <c r="AA87" s="98"/>
      <c r="AB87" s="103">
        <f t="shared" si="29"/>
        <v>4.3628771068000001</v>
      </c>
    </row>
    <row r="88" spans="15:48" ht="13.9" thickBot="1">
      <c r="O88" s="94" t="s">
        <v>202</v>
      </c>
      <c r="P88" s="95"/>
      <c r="Q88" s="96"/>
      <c r="R88" s="96"/>
      <c r="S88" s="104"/>
      <c r="T88" s="105"/>
      <c r="U88" s="106">
        <f t="shared" si="27"/>
        <v>0</v>
      </c>
      <c r="V88" s="100"/>
      <c r="W88" s="100"/>
      <c r="X88" s="100"/>
      <c r="Y88" s="107">
        <f t="shared" si="28"/>
        <v>0</v>
      </c>
      <c r="Z88" s="108"/>
      <c r="AA88" s="98"/>
      <c r="AB88" s="103">
        <f t="shared" si="29"/>
        <v>0</v>
      </c>
    </row>
    <row r="89" spans="15:48" ht="13.9" thickBot="1">
      <c r="O89" s="94" t="s">
        <v>689</v>
      </c>
      <c r="P89" s="95"/>
      <c r="Q89" s="96"/>
      <c r="R89" s="171">
        <f>AB82+AC82</f>
        <v>1858.83169527</v>
      </c>
      <c r="S89" s="104"/>
      <c r="T89" s="105"/>
      <c r="U89" s="106">
        <f t="shared" si="27"/>
        <v>1858.83169527</v>
      </c>
      <c r="V89" s="100"/>
      <c r="W89" s="100"/>
      <c r="X89" s="100"/>
      <c r="Y89" s="107">
        <f t="shared" si="28"/>
        <v>1858.83169527</v>
      </c>
      <c r="Z89" s="108"/>
      <c r="AA89" s="98"/>
      <c r="AB89" s="103">
        <f t="shared" si="29"/>
        <v>1858.83169527</v>
      </c>
    </row>
    <row r="90" spans="15:48" ht="13.9" thickBot="1">
      <c r="O90" s="114" t="s">
        <v>154</v>
      </c>
      <c r="P90" s="115"/>
      <c r="Q90" s="171">
        <f>W82+AI82</f>
        <v>1949.129093409</v>
      </c>
      <c r="R90" s="171">
        <f>AA82</f>
        <v>14.664461581999999</v>
      </c>
      <c r="S90" s="104"/>
      <c r="T90" s="105"/>
      <c r="U90" s="106">
        <f t="shared" si="27"/>
        <v>1963.7935549910001</v>
      </c>
      <c r="V90" s="100"/>
      <c r="W90" s="172">
        <f>AM82</f>
        <v>693.47103813000001</v>
      </c>
      <c r="X90" s="100"/>
      <c r="Y90" s="107">
        <f t="shared" si="28"/>
        <v>2657.264593121</v>
      </c>
      <c r="Z90" s="104">
        <f>R82</f>
        <v>13.375534034999999</v>
      </c>
      <c r="AA90" s="98"/>
      <c r="AB90" s="103">
        <f t="shared" si="29"/>
        <v>2670.6401271559998</v>
      </c>
    </row>
    <row r="91" spans="15:48" ht="13.9" thickBot="1">
      <c r="O91" s="114" t="s">
        <v>692</v>
      </c>
      <c r="P91" s="116"/>
      <c r="Q91" s="96"/>
      <c r="R91" s="171">
        <f>AD82</f>
        <v>3.5650308342999999</v>
      </c>
      <c r="S91" s="117"/>
      <c r="T91" s="118"/>
      <c r="U91" s="119">
        <f t="shared" si="27"/>
        <v>3.5650308342999999</v>
      </c>
      <c r="V91" s="100"/>
      <c r="W91" s="100"/>
      <c r="X91" s="100"/>
      <c r="Y91" s="120">
        <f t="shared" si="28"/>
        <v>3.5650308342999999</v>
      </c>
      <c r="Z91" s="121"/>
      <c r="AA91" s="98"/>
      <c r="AB91" s="103">
        <f t="shared" si="29"/>
        <v>3.5650308342999999</v>
      </c>
    </row>
    <row r="92" spans="15:48" ht="13.9" thickBot="1">
      <c r="O92" s="122" t="s">
        <v>156</v>
      </c>
      <c r="P92" s="123"/>
      <c r="Q92" s="124">
        <f t="shared" ref="Q92:Z92" si="30">SUM(Q86:Q91)</f>
        <v>2682.8102842928001</v>
      </c>
      <c r="R92" s="125">
        <f t="shared" si="30"/>
        <v>2012.8697291830999</v>
      </c>
      <c r="S92" s="125">
        <f t="shared" si="30"/>
        <v>0</v>
      </c>
      <c r="T92" s="126">
        <f t="shared" si="30"/>
        <v>0</v>
      </c>
      <c r="U92" s="127">
        <f t="shared" si="30"/>
        <v>4695.6800134759005</v>
      </c>
      <c r="V92" s="124">
        <f t="shared" si="30"/>
        <v>0</v>
      </c>
      <c r="W92" s="125">
        <f t="shared" si="30"/>
        <v>1777.8621667299999</v>
      </c>
      <c r="X92" s="126">
        <f t="shared" si="30"/>
        <v>0</v>
      </c>
      <c r="Y92" s="128">
        <f t="shared" si="30"/>
        <v>6473.5421802059</v>
      </c>
      <c r="Z92" s="124">
        <f t="shared" si="30"/>
        <v>13.375534034999999</v>
      </c>
      <c r="AA92" s="126">
        <f>AP82</f>
        <v>404.73895792000002</v>
      </c>
      <c r="AB92" s="103">
        <f t="shared" si="29"/>
        <v>6891.6566721608997</v>
      </c>
    </row>
    <row r="94" spans="15:48" ht="13.9" thickBot="1">
      <c r="O94" s="34" t="s">
        <v>744</v>
      </c>
    </row>
    <row r="95" spans="15:48" ht="13.9" thickBot="1">
      <c r="O95" s="86"/>
      <c r="P95" s="87"/>
      <c r="Q95" s="939" t="s">
        <v>675</v>
      </c>
      <c r="R95" s="940"/>
      <c r="S95" s="940"/>
      <c r="T95" s="940"/>
      <c r="U95" s="941"/>
      <c r="V95" s="88"/>
      <c r="W95" s="88"/>
      <c r="X95" s="88"/>
      <c r="Y95" s="88"/>
      <c r="Z95" s="88"/>
      <c r="AA95" s="88"/>
      <c r="AB95" s="88"/>
    </row>
    <row r="96" spans="15:48" ht="36.6" thickBot="1">
      <c r="O96" s="89" t="s">
        <v>676</v>
      </c>
      <c r="P96" s="90"/>
      <c r="Q96" s="91" t="s">
        <v>677</v>
      </c>
      <c r="R96" s="91" t="s">
        <v>678</v>
      </c>
      <c r="S96" s="91" t="s">
        <v>145</v>
      </c>
      <c r="T96" s="91" t="s">
        <v>127</v>
      </c>
      <c r="U96" s="91" t="s">
        <v>679</v>
      </c>
      <c r="V96" s="92" t="s">
        <v>680</v>
      </c>
      <c r="W96" s="92" t="s">
        <v>129</v>
      </c>
      <c r="X96" s="92" t="s">
        <v>681</v>
      </c>
      <c r="Y96" s="91" t="s">
        <v>682</v>
      </c>
      <c r="Z96" s="92" t="s">
        <v>683</v>
      </c>
      <c r="AA96" s="92" t="s">
        <v>684</v>
      </c>
      <c r="AB96" s="93" t="s">
        <v>133</v>
      </c>
    </row>
    <row r="97" spans="15:28" ht="13.9" thickBot="1">
      <c r="O97" s="94" t="s">
        <v>152</v>
      </c>
      <c r="P97" s="95"/>
      <c r="Q97" s="178">
        <f>Q68/Q$74</f>
        <v>0.13705283443454214</v>
      </c>
      <c r="R97" s="178">
        <f>R68/R$74</f>
        <v>2.1480279014166111E-2</v>
      </c>
      <c r="S97" s="97"/>
      <c r="T97" s="98"/>
      <c r="U97" s="99"/>
      <c r="V97" s="179">
        <f>V68/V$74</f>
        <v>0.38734098087555446</v>
      </c>
      <c r="W97" s="182">
        <f>W68/W$74</f>
        <v>0.1978532503574035</v>
      </c>
      <c r="X97" s="100"/>
      <c r="Y97" s="102"/>
      <c r="Z97" s="96"/>
      <c r="AA97" s="180">
        <f t="shared" ref="AA97:AA102" si="31">AA68/AA$74</f>
        <v>0.19798000941803248</v>
      </c>
      <c r="AB97" s="103"/>
    </row>
    <row r="98" spans="15:28" ht="13.9" thickBot="1">
      <c r="O98" s="94" t="s">
        <v>149</v>
      </c>
      <c r="P98" s="95"/>
      <c r="Q98" s="178">
        <f t="shared" ref="Q98:R102" si="32">Q69/Q$74</f>
        <v>0</v>
      </c>
      <c r="R98" s="178">
        <f t="shared" si="32"/>
        <v>0</v>
      </c>
      <c r="S98" s="104"/>
      <c r="T98" s="105"/>
      <c r="U98" s="106"/>
      <c r="V98" s="179">
        <f t="shared" ref="V98:W102" si="33">V69/V$74</f>
        <v>0</v>
      </c>
      <c r="W98" s="184">
        <f t="shared" si="33"/>
        <v>0</v>
      </c>
      <c r="X98" s="100"/>
      <c r="Y98" s="107"/>
      <c r="Z98" s="108"/>
      <c r="AA98" s="180">
        <f t="shared" si="31"/>
        <v>0</v>
      </c>
      <c r="AB98" s="103"/>
    </row>
    <row r="99" spans="15:28" ht="13.9" thickBot="1">
      <c r="O99" s="94" t="s">
        <v>202</v>
      </c>
      <c r="P99" s="95"/>
      <c r="Q99" s="178">
        <f t="shared" si="32"/>
        <v>9.6143889896888133E-3</v>
      </c>
      <c r="R99" s="178">
        <f t="shared" si="32"/>
        <v>3.0015836935261657E-3</v>
      </c>
      <c r="S99" s="104"/>
      <c r="T99" s="105"/>
      <c r="U99" s="106"/>
      <c r="V99" s="179">
        <f t="shared" si="33"/>
        <v>0</v>
      </c>
      <c r="W99" s="182">
        <f t="shared" si="33"/>
        <v>4.7395720094612999E-3</v>
      </c>
      <c r="X99" s="100"/>
      <c r="Y99" s="107"/>
      <c r="Z99" s="108"/>
      <c r="AA99" s="180">
        <f t="shared" si="31"/>
        <v>0</v>
      </c>
      <c r="AB99" s="103"/>
    </row>
    <row r="100" spans="15:28" ht="13.9" thickBot="1">
      <c r="O100" s="94" t="s">
        <v>689</v>
      </c>
      <c r="P100" s="95"/>
      <c r="Q100" s="178">
        <f t="shared" si="32"/>
        <v>2.3917592471082329E-4</v>
      </c>
      <c r="R100" s="178">
        <f t="shared" si="32"/>
        <v>0.74097371381028021</v>
      </c>
      <c r="S100" s="104"/>
      <c r="T100" s="105"/>
      <c r="U100" s="106"/>
      <c r="V100" s="179">
        <f t="shared" si="33"/>
        <v>0</v>
      </c>
      <c r="W100" s="182">
        <f t="shared" si="33"/>
        <v>1.5568241844981076E-2</v>
      </c>
      <c r="X100" s="100"/>
      <c r="Y100" s="107"/>
      <c r="Z100" s="108"/>
      <c r="AA100" s="180">
        <f t="shared" si="31"/>
        <v>0.25836394403504714</v>
      </c>
      <c r="AB100" s="103"/>
    </row>
    <row r="101" spans="15:28" ht="13.9" thickBot="1">
      <c r="O101" s="114" t="s">
        <v>154</v>
      </c>
      <c r="P101" s="115"/>
      <c r="Q101" s="178">
        <f t="shared" si="32"/>
        <v>0.60052798397230867</v>
      </c>
      <c r="R101" s="178">
        <f t="shared" si="32"/>
        <v>3.7371160876102774E-2</v>
      </c>
      <c r="S101" s="104"/>
      <c r="T101" s="105"/>
      <c r="U101" s="106"/>
      <c r="V101" s="179">
        <f t="shared" si="33"/>
        <v>0.23710906670028864</v>
      </c>
      <c r="W101" s="182">
        <f t="shared" si="33"/>
        <v>0.36416050243919929</v>
      </c>
      <c r="X101" s="100"/>
      <c r="Y101" s="107"/>
      <c r="Z101" s="104"/>
      <c r="AA101" s="180">
        <f t="shared" si="31"/>
        <v>0.19539580285267277</v>
      </c>
      <c r="AB101" s="103"/>
    </row>
    <row r="102" spans="15:28" ht="13.9" thickBot="1">
      <c r="O102" s="114" t="s">
        <v>692</v>
      </c>
      <c r="P102" s="116"/>
      <c r="Q102" s="178">
        <f t="shared" si="32"/>
        <v>0.2525656166787496</v>
      </c>
      <c r="R102" s="178">
        <f t="shared" si="32"/>
        <v>0.19717326260592485</v>
      </c>
      <c r="S102" s="117"/>
      <c r="T102" s="118"/>
      <c r="U102" s="119"/>
      <c r="V102" s="179">
        <f t="shared" si="33"/>
        <v>0.37554995242415684</v>
      </c>
      <c r="W102" s="182">
        <f t="shared" si="33"/>
        <v>0.41767843334895471</v>
      </c>
      <c r="X102" s="100"/>
      <c r="Y102" s="120"/>
      <c r="Z102" s="121"/>
      <c r="AA102" s="180">
        <f t="shared" si="31"/>
        <v>0.34826024369424768</v>
      </c>
      <c r="AB102" s="103"/>
    </row>
    <row r="103" spans="15:28" ht="13.9" thickBot="1">
      <c r="O103" s="122" t="s">
        <v>156</v>
      </c>
      <c r="P103" s="123"/>
      <c r="Q103" s="124">
        <f t="shared" ref="Q103:AA103" si="34">SUM(Q97:Q102)</f>
        <v>1</v>
      </c>
      <c r="R103" s="125">
        <f t="shared" si="34"/>
        <v>1.0000000000000002</v>
      </c>
      <c r="S103" s="125">
        <f t="shared" si="34"/>
        <v>0</v>
      </c>
      <c r="T103" s="126">
        <f t="shared" si="34"/>
        <v>0</v>
      </c>
      <c r="U103" s="127">
        <f t="shared" si="34"/>
        <v>0</v>
      </c>
      <c r="V103" s="124">
        <f t="shared" si="34"/>
        <v>1</v>
      </c>
      <c r="W103" s="125">
        <f t="shared" si="34"/>
        <v>0.99999999999999989</v>
      </c>
      <c r="X103" s="126">
        <f t="shared" si="34"/>
        <v>0</v>
      </c>
      <c r="Y103" s="128">
        <f t="shared" si="34"/>
        <v>0</v>
      </c>
      <c r="Z103" s="124">
        <f t="shared" si="34"/>
        <v>0</v>
      </c>
      <c r="AA103" s="126">
        <f t="shared" si="34"/>
        <v>1</v>
      </c>
      <c r="AB103" s="103"/>
    </row>
    <row r="105" spans="15:28" ht="13.9" thickBot="1">
      <c r="O105" s="34" t="s">
        <v>745</v>
      </c>
    </row>
    <row r="106" spans="15:28" ht="13.9" thickBot="1">
      <c r="O106" s="86"/>
      <c r="P106" s="87"/>
      <c r="Q106" s="939" t="s">
        <v>675</v>
      </c>
      <c r="R106" s="940"/>
      <c r="S106" s="940"/>
      <c r="T106" s="940"/>
      <c r="U106" s="941"/>
      <c r="V106" s="88"/>
      <c r="W106" s="88"/>
      <c r="X106" s="88"/>
      <c r="Y106" s="88"/>
      <c r="Z106" s="88"/>
      <c r="AA106" s="88"/>
      <c r="AB106" s="88"/>
    </row>
    <row r="107" spans="15:28" ht="36.6" thickBot="1">
      <c r="O107" s="89" t="s">
        <v>676</v>
      </c>
      <c r="P107" s="90"/>
      <c r="Q107" s="91" t="s">
        <v>677</v>
      </c>
      <c r="R107" s="91" t="s">
        <v>678</v>
      </c>
      <c r="S107" s="91" t="s">
        <v>145</v>
      </c>
      <c r="T107" s="91" t="s">
        <v>127</v>
      </c>
      <c r="U107" s="91" t="s">
        <v>679</v>
      </c>
      <c r="V107" s="92" t="s">
        <v>680</v>
      </c>
      <c r="W107" s="92" t="s">
        <v>129</v>
      </c>
      <c r="X107" s="92" t="s">
        <v>681</v>
      </c>
      <c r="Y107" s="91" t="s">
        <v>682</v>
      </c>
      <c r="Z107" s="92" t="s">
        <v>683</v>
      </c>
      <c r="AA107" s="92" t="s">
        <v>684</v>
      </c>
      <c r="AB107" s="93" t="s">
        <v>133</v>
      </c>
    </row>
    <row r="108" spans="15:28" ht="13.9" thickBot="1">
      <c r="O108" s="94" t="s">
        <v>152</v>
      </c>
      <c r="P108" s="95"/>
      <c r="Q108" s="171">
        <f>Q97/(Q97+Q99+Q102)*Q86</f>
        <v>251.86577025075857</v>
      </c>
      <c r="R108" s="171">
        <f t="shared" ref="R108:R113" si="35">R86</f>
        <v>131.44566438999999</v>
      </c>
      <c r="S108" s="97"/>
      <c r="T108" s="98"/>
      <c r="U108" s="99">
        <f t="shared" ref="U108:U113" si="36">SUM(Q108:T108)</f>
        <v>383.31143464075853</v>
      </c>
      <c r="V108" s="100"/>
      <c r="W108" s="172">
        <f>W97/(W97+W99+W100+W102)*W86</f>
        <v>337.42840807357567</v>
      </c>
      <c r="X108" s="100"/>
      <c r="Y108" s="102">
        <f t="shared" ref="Y108:Y113" si="37">U108+V108+W108+X108</f>
        <v>720.73984271433415</v>
      </c>
      <c r="Z108" s="96"/>
      <c r="AA108" s="98">
        <f t="shared" ref="AA108:AA113" si="38">AA97*$AA$92</f>
        <v>80.130222700846261</v>
      </c>
      <c r="AB108" s="103">
        <f t="shared" ref="AB108:AB114" si="39">Y108+Z108+AA108</f>
        <v>800.87006541518042</v>
      </c>
    </row>
    <row r="109" spans="15:28" ht="13.9" thickBot="1">
      <c r="O109" s="94" t="s">
        <v>149</v>
      </c>
      <c r="P109" s="95"/>
      <c r="Q109" s="96">
        <v>0</v>
      </c>
      <c r="R109" s="171">
        <f t="shared" si="35"/>
        <v>4.3628771068000001</v>
      </c>
      <c r="S109" s="104"/>
      <c r="T109" s="105"/>
      <c r="U109" s="106">
        <f t="shared" si="36"/>
        <v>4.3628771068000001</v>
      </c>
      <c r="V109" s="100"/>
      <c r="W109" s="100">
        <v>0</v>
      </c>
      <c r="X109" s="100"/>
      <c r="Y109" s="107">
        <f t="shared" si="37"/>
        <v>4.3628771068000001</v>
      </c>
      <c r="Z109" s="108"/>
      <c r="AA109" s="98">
        <f t="shared" si="38"/>
        <v>0</v>
      </c>
      <c r="AB109" s="103">
        <f t="shared" si="39"/>
        <v>4.3628771068000001</v>
      </c>
    </row>
    <row r="110" spans="15:28" ht="13.9" thickBot="1">
      <c r="O110" s="94" t="s">
        <v>202</v>
      </c>
      <c r="P110" s="95"/>
      <c r="Q110" s="96">
        <f>Q99/(Q97+Q99+Q102)*Q86</f>
        <v>17.668627565195933</v>
      </c>
      <c r="R110" s="171">
        <f t="shared" si="35"/>
        <v>0</v>
      </c>
      <c r="S110" s="104"/>
      <c r="T110" s="105"/>
      <c r="U110" s="106">
        <f t="shared" si="36"/>
        <v>17.668627565195933</v>
      </c>
      <c r="V110" s="100"/>
      <c r="W110" s="183">
        <f>W99/(W97+W99+W100+W102)*W86</f>
        <v>8.0830930763769544</v>
      </c>
      <c r="X110" s="100"/>
      <c r="Y110" s="107">
        <f t="shared" si="37"/>
        <v>25.751720641572888</v>
      </c>
      <c r="Z110" s="108"/>
      <c r="AA110" s="98">
        <f t="shared" si="38"/>
        <v>0</v>
      </c>
      <c r="AB110" s="103">
        <f t="shared" si="39"/>
        <v>25.751720641572888</v>
      </c>
    </row>
    <row r="111" spans="15:28" ht="13.9" thickBot="1">
      <c r="O111" s="94" t="s">
        <v>689</v>
      </c>
      <c r="P111" s="95"/>
      <c r="Q111" s="96"/>
      <c r="R111" s="171">
        <f t="shared" si="35"/>
        <v>1858.83169527</v>
      </c>
      <c r="S111" s="104"/>
      <c r="T111" s="105"/>
      <c r="U111" s="106">
        <f t="shared" si="36"/>
        <v>1858.83169527</v>
      </c>
      <c r="V111" s="100"/>
      <c r="W111" s="100">
        <f>W100/(W97+W100+W102+W99)*W86</f>
        <v>26.550825183650169</v>
      </c>
      <c r="X111" s="100"/>
      <c r="Y111" s="107">
        <f t="shared" si="37"/>
        <v>1885.3825204536502</v>
      </c>
      <c r="Z111" s="108"/>
      <c r="AA111" s="98">
        <f t="shared" si="38"/>
        <v>104.56995347284618</v>
      </c>
      <c r="AB111" s="103">
        <f t="shared" si="39"/>
        <v>1989.9524739264964</v>
      </c>
    </row>
    <row r="112" spans="15:28" ht="13.9" thickBot="1">
      <c r="O112" s="114" t="s">
        <v>154</v>
      </c>
      <c r="P112" s="115"/>
      <c r="Q112" s="171">
        <f>Q90</f>
        <v>1949.129093409</v>
      </c>
      <c r="R112" s="171">
        <f t="shared" si="35"/>
        <v>14.664461581999999</v>
      </c>
      <c r="S112" s="104"/>
      <c r="T112" s="105"/>
      <c r="U112" s="106">
        <f t="shared" si="36"/>
        <v>1963.7935549910001</v>
      </c>
      <c r="V112" s="100"/>
      <c r="W112" s="172">
        <f>W90</f>
        <v>693.47103813000001</v>
      </c>
      <c r="X112" s="100"/>
      <c r="Y112" s="107">
        <f t="shared" si="37"/>
        <v>2657.264593121</v>
      </c>
      <c r="Z112" s="104">
        <f>Z90</f>
        <v>13.375534034999999</v>
      </c>
      <c r="AA112" s="98">
        <f t="shared" si="38"/>
        <v>79.084293628532549</v>
      </c>
      <c r="AB112" s="103">
        <f t="shared" si="39"/>
        <v>2749.7244207845324</v>
      </c>
    </row>
    <row r="113" spans="15:28" ht="13.9" thickBot="1">
      <c r="O113" s="114" t="s">
        <v>692</v>
      </c>
      <c r="P113" s="116"/>
      <c r="Q113" s="96">
        <f>Q102/(Q97+Q99+Q102)*Q86</f>
        <v>464.14679306784541</v>
      </c>
      <c r="R113" s="171">
        <f t="shared" si="35"/>
        <v>3.5650308342999999</v>
      </c>
      <c r="S113" s="117"/>
      <c r="T113" s="118"/>
      <c r="U113" s="119">
        <f t="shared" si="36"/>
        <v>467.7118239021454</v>
      </c>
      <c r="V113" s="100"/>
      <c r="W113" s="100">
        <f>W102/(W97+W99+W100+W102)*W86</f>
        <v>712.32880226639725</v>
      </c>
      <c r="X113" s="100"/>
      <c r="Y113" s="120">
        <f t="shared" si="37"/>
        <v>1180.0406261685425</v>
      </c>
      <c r="Z113" s="121"/>
      <c r="AA113" s="98">
        <f t="shared" si="38"/>
        <v>140.95448811777507</v>
      </c>
      <c r="AB113" s="103">
        <f t="shared" si="39"/>
        <v>1320.9951142863176</v>
      </c>
    </row>
    <row r="114" spans="15:28" ht="13.9" thickBot="1">
      <c r="O114" s="122" t="s">
        <v>156</v>
      </c>
      <c r="P114" s="123"/>
      <c r="Q114" s="124">
        <f t="shared" ref="Q114:Z114" si="40">SUM(Q108:Q113)</f>
        <v>2682.8102842928001</v>
      </c>
      <c r="R114" s="125">
        <f t="shared" si="40"/>
        <v>2012.8697291830999</v>
      </c>
      <c r="S114" s="125">
        <f t="shared" si="40"/>
        <v>0</v>
      </c>
      <c r="T114" s="126">
        <f t="shared" si="40"/>
        <v>0</v>
      </c>
      <c r="U114" s="127">
        <f t="shared" si="40"/>
        <v>4695.6800134759005</v>
      </c>
      <c r="V114" s="124">
        <f t="shared" si="40"/>
        <v>0</v>
      </c>
      <c r="W114" s="125">
        <f t="shared" si="40"/>
        <v>1777.8621667299999</v>
      </c>
      <c r="X114" s="126">
        <f t="shared" si="40"/>
        <v>0</v>
      </c>
      <c r="Y114" s="128">
        <f t="shared" si="40"/>
        <v>6473.5421802058991</v>
      </c>
      <c r="Z114" s="124">
        <f t="shared" si="40"/>
        <v>13.375534034999999</v>
      </c>
      <c r="AA114" s="126">
        <f>SUM(AA108:AA113)</f>
        <v>404.73895792000008</v>
      </c>
      <c r="AB114" s="103">
        <f t="shared" si="39"/>
        <v>6891.6566721608988</v>
      </c>
    </row>
    <row r="115" spans="15:28">
      <c r="Q115" s="181">
        <f>Q108+Q110+Q113</f>
        <v>733.6811908837999</v>
      </c>
      <c r="W115" s="181">
        <f>W108+W111+W113+W110</f>
        <v>1084.3911286</v>
      </c>
    </row>
  </sheetData>
  <mergeCells count="14">
    <mergeCell ref="O4:S4"/>
    <mergeCell ref="O5:O6"/>
    <mergeCell ref="O10:S10"/>
    <mergeCell ref="Q32:U32"/>
    <mergeCell ref="Q66:U66"/>
    <mergeCell ref="AT80:AV80"/>
    <mergeCell ref="Q84:U84"/>
    <mergeCell ref="Q95:U95"/>
    <mergeCell ref="Q106:U106"/>
    <mergeCell ref="Q80:T80"/>
    <mergeCell ref="V80:X80"/>
    <mergeCell ref="Z80:AF80"/>
    <mergeCell ref="AH80:AJ80"/>
    <mergeCell ref="AL80:AN80"/>
  </mergeCells>
  <conditionalFormatting sqref="AV78:AV81">
    <cfRule type="cellIs" dxfId="0" priority="1" operator="equal">
      <formula>#VALUE!</formula>
    </cfRule>
  </conditionalFormatting>
  <hyperlinks>
    <hyperlink ref="V7" r:id="rId1" xr:uid="{00000000-0004-0000-0B00-000000000000}"/>
    <hyperlink ref="P2" r:id="rId2" location="ld" xr:uid="{00000000-0004-0000-0B00-000001000000}"/>
  </hyperlinks>
  <pageMargins left="0.51181102362204722" right="0.51181102362204722" top="0.51181102362204722" bottom="0.51181102362204722" header="0.27559055118110237" footer="0.27559055118110237"/>
  <pageSetup paperSize="9" scale="94" firstPageNumber="27" orientation="portrait" useFirstPageNumber="1" r:id="rId3"/>
  <headerFooter alignWithMargins="0">
    <oddFooter>&amp;C30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AC02-A1A7-47FC-BCEC-656723CF9416}">
  <sheetPr>
    <tabColor rgb="FFFFC000"/>
  </sheetPr>
  <dimension ref="B1:I56"/>
  <sheetViews>
    <sheetView showGridLines="0" zoomScale="85" zoomScaleNormal="85" workbookViewId="0">
      <selection activeCell="C42" sqref="C42"/>
    </sheetView>
  </sheetViews>
  <sheetFormatPr defaultColWidth="11.5703125" defaultRowHeight="14.45"/>
  <cols>
    <col min="1" max="1" width="3.5703125" style="353" customWidth="1"/>
    <col min="2" max="2" width="16.7109375" style="353" customWidth="1"/>
    <col min="3" max="3" width="42.28515625" style="714" customWidth="1"/>
    <col min="4" max="4" width="75.42578125" style="714" bestFit="1" customWidth="1"/>
    <col min="5" max="8" width="11.5703125" style="714"/>
    <col min="9" max="9" width="15.140625" style="714" customWidth="1"/>
    <col min="10" max="16384" width="11.5703125" style="353"/>
  </cols>
  <sheetData>
    <row r="1" spans="2:9" ht="45" customHeight="1" thickBot="1">
      <c r="B1" s="710" t="s">
        <v>19</v>
      </c>
      <c r="D1" s="600"/>
      <c r="E1" s="600"/>
      <c r="F1" s="600"/>
      <c r="G1" s="600"/>
      <c r="H1" s="600"/>
      <c r="I1" s="600"/>
    </row>
    <row r="2" spans="2:9" ht="20.100000000000001" customHeight="1" thickBot="1">
      <c r="B2" s="720"/>
      <c r="C2" s="721" t="s">
        <v>20</v>
      </c>
      <c r="D2" s="722" t="s">
        <v>21</v>
      </c>
      <c r="E2" s="353"/>
      <c r="F2" s="353"/>
      <c r="G2" s="353"/>
      <c r="H2" s="353"/>
      <c r="I2" s="353"/>
    </row>
    <row r="3" spans="2:9" ht="27.6" customHeight="1">
      <c r="B3" s="901" t="s">
        <v>22</v>
      </c>
      <c r="C3" s="718" t="s">
        <v>23</v>
      </c>
      <c r="D3" s="719" t="s">
        <v>24</v>
      </c>
      <c r="E3" s="353"/>
      <c r="F3" s="353"/>
      <c r="G3" s="353"/>
      <c r="H3" s="353"/>
      <c r="I3" s="353"/>
    </row>
    <row r="4" spans="2:9" ht="18" customHeight="1">
      <c r="B4" s="902"/>
      <c r="C4" s="377" t="s">
        <v>25</v>
      </c>
      <c r="D4" s="711" t="s">
        <v>26</v>
      </c>
      <c r="E4" s="353"/>
      <c r="F4" s="353"/>
      <c r="G4" s="353"/>
      <c r="H4" s="353"/>
      <c r="I4" s="353"/>
    </row>
    <row r="5" spans="2:9">
      <c r="B5" s="902" t="s">
        <v>27</v>
      </c>
      <c r="C5" s="377" t="s">
        <v>28</v>
      </c>
      <c r="D5" s="711" t="s">
        <v>29</v>
      </c>
      <c r="E5" s="353"/>
      <c r="F5" s="353"/>
      <c r="G5" s="353"/>
      <c r="H5" s="353"/>
      <c r="I5" s="353"/>
    </row>
    <row r="6" spans="2:9">
      <c r="B6" s="902"/>
      <c r="C6" s="377" t="s">
        <v>30</v>
      </c>
      <c r="D6" s="711" t="s">
        <v>31</v>
      </c>
      <c r="E6" s="353"/>
      <c r="F6" s="353"/>
      <c r="G6" s="353"/>
      <c r="H6" s="353"/>
      <c r="I6" s="353"/>
    </row>
    <row r="7" spans="2:9" ht="43.15">
      <c r="B7" s="903" t="s">
        <v>32</v>
      </c>
      <c r="C7" s="377" t="s">
        <v>33</v>
      </c>
      <c r="D7" s="712" t="s">
        <v>34</v>
      </c>
      <c r="E7" s="353"/>
      <c r="F7" s="353"/>
      <c r="G7" s="353"/>
      <c r="H7" s="353"/>
      <c r="I7" s="353"/>
    </row>
    <row r="8" spans="2:9" ht="14.45" customHeight="1">
      <c r="B8" s="903"/>
      <c r="C8" s="713" t="s">
        <v>35</v>
      </c>
      <c r="D8" s="712" t="s">
        <v>36</v>
      </c>
      <c r="E8" s="353"/>
      <c r="F8" s="353"/>
      <c r="G8" s="353"/>
      <c r="H8" s="353"/>
      <c r="I8" s="353"/>
    </row>
    <row r="9" spans="2:9" ht="14.45" customHeight="1">
      <c r="B9" s="903"/>
      <c r="C9" s="713" t="s">
        <v>37</v>
      </c>
      <c r="D9" s="711" t="s">
        <v>38</v>
      </c>
      <c r="E9" s="353"/>
      <c r="F9" s="353"/>
      <c r="G9" s="353"/>
      <c r="H9" s="353"/>
      <c r="I9" s="353"/>
    </row>
    <row r="10" spans="2:9">
      <c r="B10" s="903"/>
      <c r="C10" s="713" t="s">
        <v>39</v>
      </c>
      <c r="D10" s="377" t="s">
        <v>40</v>
      </c>
      <c r="E10" s="353"/>
      <c r="F10" s="353"/>
      <c r="G10" s="353"/>
      <c r="H10" s="353"/>
      <c r="I10" s="353"/>
    </row>
    <row r="11" spans="2:9" ht="28.9">
      <c r="B11" s="903" t="s">
        <v>41</v>
      </c>
      <c r="C11" s="377" t="s">
        <v>42</v>
      </c>
      <c r="D11" s="711" t="s">
        <v>43</v>
      </c>
      <c r="E11" s="353"/>
      <c r="F11" s="353"/>
      <c r="G11" s="353"/>
      <c r="H11" s="353"/>
      <c r="I11" s="353"/>
    </row>
    <row r="12" spans="2:9" ht="28.9">
      <c r="B12" s="903"/>
      <c r="C12" s="377" t="s">
        <v>44</v>
      </c>
      <c r="D12" s="711" t="s">
        <v>45</v>
      </c>
      <c r="E12" s="353"/>
      <c r="F12" s="353"/>
      <c r="G12" s="353"/>
      <c r="H12" s="353"/>
      <c r="I12" s="353"/>
    </row>
    <row r="13" spans="2:9">
      <c r="B13" s="903"/>
      <c r="C13" s="377" t="s">
        <v>46</v>
      </c>
      <c r="D13" s="711" t="s">
        <v>47</v>
      </c>
      <c r="E13" s="353"/>
      <c r="F13" s="353"/>
      <c r="G13" s="353"/>
      <c r="H13" s="353"/>
      <c r="I13" s="353"/>
    </row>
    <row r="14" spans="2:9">
      <c r="B14" s="903"/>
      <c r="C14" s="377" t="s">
        <v>48</v>
      </c>
      <c r="D14" s="711" t="s">
        <v>49</v>
      </c>
      <c r="E14" s="353"/>
      <c r="F14" s="353"/>
      <c r="G14" s="353"/>
      <c r="H14" s="353"/>
      <c r="I14" s="353"/>
    </row>
    <row r="15" spans="2:9">
      <c r="B15" s="903"/>
      <c r="C15" s="377" t="s">
        <v>50</v>
      </c>
      <c r="D15" s="711" t="s">
        <v>51</v>
      </c>
      <c r="E15" s="353"/>
      <c r="F15" s="353"/>
      <c r="G15" s="353"/>
      <c r="H15" s="353"/>
      <c r="I15" s="353"/>
    </row>
    <row r="16" spans="2:9" ht="57.6">
      <c r="B16" s="903"/>
      <c r="C16" s="377" t="s">
        <v>52</v>
      </c>
      <c r="D16" s="711" t="s">
        <v>53</v>
      </c>
      <c r="E16" s="353"/>
      <c r="F16" s="353"/>
      <c r="G16" s="353"/>
      <c r="H16" s="353"/>
      <c r="I16" s="353"/>
    </row>
    <row r="17" spans="2:9" ht="57.6">
      <c r="B17" s="903"/>
      <c r="C17" s="713" t="s">
        <v>54</v>
      </c>
      <c r="D17" s="711" t="s">
        <v>55</v>
      </c>
      <c r="E17" s="353"/>
      <c r="F17" s="353"/>
      <c r="G17" s="353"/>
      <c r="H17" s="353"/>
      <c r="I17" s="353"/>
    </row>
    <row r="18" spans="2:9" ht="28.9">
      <c r="B18" s="903"/>
      <c r="C18" s="377" t="s">
        <v>56</v>
      </c>
      <c r="D18" s="711" t="s">
        <v>57</v>
      </c>
      <c r="E18" s="353"/>
      <c r="F18" s="353"/>
      <c r="G18" s="353"/>
      <c r="H18" s="353"/>
      <c r="I18" s="353"/>
    </row>
    <row r="19" spans="2:9">
      <c r="B19" s="903"/>
      <c r="C19" s="377" t="s">
        <v>58</v>
      </c>
      <c r="D19" s="711" t="s">
        <v>59</v>
      </c>
      <c r="E19" s="353"/>
      <c r="F19" s="353"/>
      <c r="G19" s="353"/>
      <c r="H19" s="353"/>
      <c r="I19" s="353"/>
    </row>
    <row r="20" spans="2:9" ht="28.9">
      <c r="B20" s="903"/>
      <c r="C20" s="377" t="s">
        <v>60</v>
      </c>
      <c r="D20" s="711" t="s">
        <v>61</v>
      </c>
      <c r="E20" s="353"/>
      <c r="F20" s="353"/>
      <c r="G20" s="353"/>
      <c r="H20" s="353"/>
      <c r="I20" s="353"/>
    </row>
    <row r="21" spans="2:9">
      <c r="B21" s="903"/>
      <c r="C21" s="377" t="s">
        <v>62</v>
      </c>
      <c r="D21" s="711" t="s">
        <v>63</v>
      </c>
      <c r="E21" s="353"/>
      <c r="F21" s="353"/>
      <c r="G21" s="353"/>
      <c r="H21" s="353"/>
      <c r="I21" s="353"/>
    </row>
    <row r="22" spans="2:9">
      <c r="B22" s="903"/>
      <c r="C22" s="713" t="s">
        <v>64</v>
      </c>
      <c r="D22" s="711" t="s">
        <v>65</v>
      </c>
      <c r="E22" s="353"/>
      <c r="F22" s="353"/>
      <c r="G22" s="353"/>
      <c r="H22" s="353"/>
      <c r="I22" s="353"/>
    </row>
    <row r="23" spans="2:9">
      <c r="B23" s="903"/>
      <c r="C23" s="713" t="s">
        <v>66</v>
      </c>
      <c r="D23" s="711" t="s">
        <v>67</v>
      </c>
      <c r="E23" s="353"/>
      <c r="F23" s="353"/>
      <c r="G23" s="353"/>
      <c r="H23" s="353"/>
      <c r="I23" s="353"/>
    </row>
    <row r="24" spans="2:9" ht="20.100000000000001" customHeight="1" thickBot="1">
      <c r="E24" s="353"/>
      <c r="F24" s="353"/>
      <c r="G24" s="353"/>
      <c r="H24" s="353"/>
      <c r="I24" s="353"/>
    </row>
    <row r="25" spans="2:9" ht="20.100000000000001" customHeight="1" thickBot="1">
      <c r="B25" s="724"/>
      <c r="C25" s="725" t="s">
        <v>68</v>
      </c>
      <c r="D25" s="726" t="s">
        <v>69</v>
      </c>
    </row>
    <row r="26" spans="2:9" ht="28.9">
      <c r="B26" s="899"/>
      <c r="C26" s="723" t="s">
        <v>70</v>
      </c>
      <c r="D26" s="719" t="s">
        <v>71</v>
      </c>
    </row>
    <row r="27" spans="2:9">
      <c r="B27" s="899"/>
      <c r="C27" s="715" t="s">
        <v>72</v>
      </c>
      <c r="D27" s="711" t="s">
        <v>73</v>
      </c>
    </row>
    <row r="28" spans="2:9">
      <c r="B28" s="899"/>
      <c r="C28" s="715" t="s">
        <v>74</v>
      </c>
      <c r="D28" s="711" t="s">
        <v>75</v>
      </c>
    </row>
    <row r="29" spans="2:9">
      <c r="B29" s="899"/>
      <c r="C29" s="715" t="s">
        <v>76</v>
      </c>
      <c r="D29" s="716" t="s">
        <v>77</v>
      </c>
    </row>
    <row r="30" spans="2:9" ht="43.15">
      <c r="B30" s="899"/>
      <c r="C30" s="715" t="s">
        <v>78</v>
      </c>
      <c r="D30" s="717" t="s">
        <v>79</v>
      </c>
    </row>
    <row r="31" spans="2:9" ht="43.15">
      <c r="B31" s="899"/>
      <c r="C31" s="715" t="s">
        <v>80</v>
      </c>
      <c r="D31" s="716" t="s">
        <v>81</v>
      </c>
    </row>
    <row r="32" spans="2:9">
      <c r="B32" s="899"/>
      <c r="C32" s="715" t="s">
        <v>82</v>
      </c>
      <c r="D32" s="716" t="s">
        <v>83</v>
      </c>
    </row>
    <row r="33" spans="2:4" ht="28.9">
      <c r="B33" s="899"/>
      <c r="C33" s="715" t="s">
        <v>84</v>
      </c>
      <c r="D33" s="717" t="s">
        <v>85</v>
      </c>
    </row>
    <row r="34" spans="2:4" ht="28.9">
      <c r="B34" s="899"/>
      <c r="C34" s="715" t="s">
        <v>86</v>
      </c>
      <c r="D34" s="717" t="s">
        <v>87</v>
      </c>
    </row>
    <row r="35" spans="2:4" ht="28.9">
      <c r="B35" s="899"/>
      <c r="C35" s="715" t="s">
        <v>88</v>
      </c>
      <c r="D35" s="717" t="s">
        <v>89</v>
      </c>
    </row>
    <row r="36" spans="2:4">
      <c r="B36" s="899"/>
      <c r="C36" s="715" t="s">
        <v>90</v>
      </c>
      <c r="D36" s="716" t="s">
        <v>91</v>
      </c>
    </row>
    <row r="37" spans="2:4">
      <c r="B37" s="899"/>
      <c r="C37" s="715" t="s">
        <v>92</v>
      </c>
      <c r="D37" s="716" t="s">
        <v>93</v>
      </c>
    </row>
    <row r="38" spans="2:4" ht="28.9">
      <c r="B38" s="899"/>
      <c r="C38" s="715" t="s">
        <v>94</v>
      </c>
      <c r="D38" s="717" t="s">
        <v>95</v>
      </c>
    </row>
    <row r="39" spans="2:4" ht="28.9">
      <c r="B39" s="899"/>
      <c r="C39" s="715" t="s">
        <v>96</v>
      </c>
      <c r="D39" s="717" t="s">
        <v>97</v>
      </c>
    </row>
    <row r="40" spans="2:4">
      <c r="B40" s="899"/>
      <c r="C40" s="715" t="s">
        <v>98</v>
      </c>
      <c r="D40" s="717" t="s">
        <v>99</v>
      </c>
    </row>
    <row r="41" spans="2:4" ht="28.9">
      <c r="B41" s="899"/>
      <c r="C41" s="715" t="s">
        <v>100</v>
      </c>
      <c r="D41" s="717" t="s">
        <v>101</v>
      </c>
    </row>
    <row r="42" spans="2:4" ht="57.6">
      <c r="B42" s="899"/>
      <c r="C42" s="715" t="s">
        <v>102</v>
      </c>
      <c r="D42" s="717" t="s">
        <v>103</v>
      </c>
    </row>
    <row r="43" spans="2:4" ht="43.15">
      <c r="B43" s="899"/>
      <c r="C43" s="715" t="s">
        <v>104</v>
      </c>
      <c r="D43" s="717" t="s">
        <v>105</v>
      </c>
    </row>
    <row r="44" spans="2:4">
      <c r="B44" s="899"/>
      <c r="C44" s="715" t="s">
        <v>106</v>
      </c>
      <c r="D44" s="711" t="s">
        <v>107</v>
      </c>
    </row>
    <row r="45" spans="2:4">
      <c r="B45" s="899"/>
      <c r="C45" s="715" t="s">
        <v>108</v>
      </c>
      <c r="D45" s="711" t="s">
        <v>109</v>
      </c>
    </row>
    <row r="46" spans="2:4">
      <c r="B46" s="899"/>
      <c r="C46" s="715" t="s">
        <v>90</v>
      </c>
      <c r="D46" s="712" t="s">
        <v>110</v>
      </c>
    </row>
    <row r="47" spans="2:4">
      <c r="B47" s="899"/>
      <c r="C47" s="715" t="s">
        <v>111</v>
      </c>
      <c r="D47" s="711" t="s">
        <v>112</v>
      </c>
    </row>
    <row r="48" spans="2:4">
      <c r="B48" s="899"/>
      <c r="C48" s="715" t="s">
        <v>113</v>
      </c>
      <c r="D48" s="711" t="s">
        <v>114</v>
      </c>
    </row>
    <row r="49" spans="2:7">
      <c r="B49" s="899"/>
      <c r="C49" s="715" t="s">
        <v>115</v>
      </c>
      <c r="D49" s="711" t="s">
        <v>116</v>
      </c>
    </row>
    <row r="50" spans="2:7">
      <c r="B50" s="899"/>
      <c r="C50" s="715" t="s">
        <v>117</v>
      </c>
      <c r="D50" s="711" t="s">
        <v>118</v>
      </c>
    </row>
    <row r="51" spans="2:7">
      <c r="B51" s="900"/>
      <c r="C51" s="715" t="s">
        <v>119</v>
      </c>
      <c r="D51" s="711" t="s">
        <v>120</v>
      </c>
    </row>
    <row r="53" spans="2:7">
      <c r="D53" s="353"/>
      <c r="E53" s="353"/>
      <c r="F53" s="353"/>
      <c r="G53" s="353"/>
    </row>
    <row r="54" spans="2:7">
      <c r="D54" s="353"/>
      <c r="E54" s="353"/>
      <c r="F54" s="353"/>
      <c r="G54" s="353"/>
    </row>
    <row r="55" spans="2:7">
      <c r="D55" s="353"/>
      <c r="E55" s="353"/>
      <c r="F55" s="353"/>
      <c r="G55" s="353"/>
    </row>
    <row r="56" spans="2:7">
      <c r="D56" s="353"/>
      <c r="E56" s="353"/>
      <c r="F56" s="353"/>
      <c r="G56" s="353"/>
    </row>
  </sheetData>
  <mergeCells count="5">
    <mergeCell ref="B26:B51"/>
    <mergeCell ref="B3:B4"/>
    <mergeCell ref="B7:B10"/>
    <mergeCell ref="B5:B6"/>
    <mergeCell ref="B11:B2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2D050"/>
  </sheetPr>
  <dimension ref="A1:AB27"/>
  <sheetViews>
    <sheetView showGridLines="0" tabSelected="1" zoomScale="40" zoomScaleNormal="40" workbookViewId="0">
      <selection activeCell="B9" sqref="B9"/>
    </sheetView>
  </sheetViews>
  <sheetFormatPr defaultColWidth="8.85546875" defaultRowHeight="23.45"/>
  <cols>
    <col min="1" max="1" width="3.5703125" style="353" customWidth="1"/>
    <col min="2" max="2" width="40.140625" style="669" customWidth="1"/>
    <col min="3" max="3" width="18.28515625" style="353" customWidth="1"/>
    <col min="4" max="6" width="15" style="353" customWidth="1"/>
    <col min="7" max="7" width="19.28515625" style="353" customWidth="1"/>
    <col min="8" max="8" width="19.5703125" style="353" customWidth="1"/>
    <col min="9" max="9" width="16.140625" style="353" customWidth="1"/>
    <col min="10" max="10" width="12.42578125" style="353" customWidth="1"/>
    <col min="11" max="11" width="15" style="353" customWidth="1"/>
    <col min="12" max="12" width="20" style="353" bestFit="1" customWidth="1"/>
    <col min="13" max="13" width="17" style="353" customWidth="1"/>
    <col min="14" max="14" width="15.7109375" style="353" customWidth="1"/>
    <col min="15" max="15" width="20" style="353" bestFit="1" customWidth="1"/>
    <col min="16" max="18" width="15" style="353" customWidth="1"/>
    <col min="19" max="19" width="17.7109375" style="353" customWidth="1"/>
    <col min="20" max="20" width="15.7109375" style="353" customWidth="1"/>
    <col min="21" max="21" width="13.28515625" style="353" customWidth="1"/>
    <col min="22" max="22" width="19.7109375" style="353" customWidth="1"/>
    <col min="23" max="23" width="14.5703125" style="353" customWidth="1"/>
    <col min="24" max="24" width="19.42578125" style="353" customWidth="1"/>
    <col min="25" max="25" width="14.5703125" style="353" customWidth="1"/>
    <col min="26" max="26" width="15.140625" style="353" customWidth="1"/>
    <col min="27" max="27" width="6.85546875" style="353" customWidth="1"/>
    <col min="28" max="28" width="10.5703125" style="353" customWidth="1"/>
    <col min="29" max="29" width="4" style="353" customWidth="1"/>
    <col min="30" max="30" width="15.85546875" style="353" customWidth="1"/>
    <col min="31" max="32" width="8.85546875" style="353"/>
    <col min="33" max="33" width="2.42578125" style="353" customWidth="1"/>
    <col min="34" max="16384" width="8.85546875" style="353"/>
  </cols>
  <sheetData>
    <row r="1" spans="1:28" s="473" customFormat="1" ht="45" customHeight="1" thickBot="1">
      <c r="A1" s="677"/>
      <c r="B1" s="710" t="s">
        <v>121</v>
      </c>
      <c r="C1" s="706"/>
      <c r="D1" s="706"/>
      <c r="E1" s="706"/>
      <c r="F1" s="706"/>
      <c r="G1" s="706"/>
      <c r="H1" s="706"/>
      <c r="I1" s="706"/>
      <c r="J1" s="706"/>
      <c r="K1" s="706"/>
      <c r="L1" s="706"/>
      <c r="M1" s="706"/>
      <c r="N1" s="706"/>
      <c r="O1" s="706"/>
      <c r="P1" s="706"/>
      <c r="Q1" s="706"/>
      <c r="R1" s="706"/>
      <c r="S1" s="706"/>
      <c r="T1" s="706"/>
      <c r="U1" s="706"/>
      <c r="V1" s="706"/>
      <c r="W1" s="706"/>
      <c r="X1" s="706"/>
      <c r="Y1" s="706"/>
      <c r="Z1" s="706"/>
    </row>
    <row r="2" spans="1:28" ht="38.1" customHeight="1">
      <c r="A2" s="599"/>
      <c r="B2" s="909" t="s">
        <v>122</v>
      </c>
      <c r="C2" s="906" t="s">
        <v>123</v>
      </c>
      <c r="D2" s="907"/>
      <c r="E2" s="907"/>
      <c r="F2" s="907"/>
      <c r="G2" s="907"/>
      <c r="H2" s="908"/>
      <c r="I2" s="905" t="s">
        <v>124</v>
      </c>
      <c r="J2" s="906" t="s">
        <v>125</v>
      </c>
      <c r="K2" s="907"/>
      <c r="L2" s="908"/>
      <c r="M2" s="905" t="s">
        <v>126</v>
      </c>
      <c r="N2" s="915" t="s">
        <v>127</v>
      </c>
      <c r="O2" s="905" t="s">
        <v>128</v>
      </c>
      <c r="P2" s="915" t="s">
        <v>83</v>
      </c>
      <c r="Q2" s="915" t="s">
        <v>129</v>
      </c>
      <c r="R2" s="905" t="s">
        <v>130</v>
      </c>
      <c r="S2" s="911" t="s">
        <v>131</v>
      </c>
      <c r="T2" s="912"/>
      <c r="U2" s="912"/>
      <c r="V2" s="912"/>
      <c r="W2" s="912"/>
      <c r="X2" s="913"/>
      <c r="Y2" s="914" t="s">
        <v>132</v>
      </c>
      <c r="Z2" s="904" t="s">
        <v>133</v>
      </c>
    </row>
    <row r="3" spans="1:28" ht="56.45" customHeight="1">
      <c r="A3" s="599"/>
      <c r="B3" s="910"/>
      <c r="C3" s="682" t="s">
        <v>134</v>
      </c>
      <c r="D3" s="678" t="s">
        <v>135</v>
      </c>
      <c r="E3" s="678" t="s">
        <v>136</v>
      </c>
      <c r="F3" s="678" t="s">
        <v>137</v>
      </c>
      <c r="G3" s="679" t="s">
        <v>138</v>
      </c>
      <c r="H3" s="683" t="s">
        <v>139</v>
      </c>
      <c r="I3" s="905"/>
      <c r="J3" s="682" t="s">
        <v>140</v>
      </c>
      <c r="K3" s="678" t="s">
        <v>141</v>
      </c>
      <c r="L3" s="683" t="s">
        <v>142</v>
      </c>
      <c r="M3" s="905"/>
      <c r="N3" s="916"/>
      <c r="O3" s="905"/>
      <c r="P3" s="916"/>
      <c r="Q3" s="916"/>
      <c r="R3" s="905"/>
      <c r="S3" s="682" t="s">
        <v>143</v>
      </c>
      <c r="T3" s="678" t="s">
        <v>144</v>
      </c>
      <c r="U3" s="678" t="s">
        <v>145</v>
      </c>
      <c r="V3" s="678" t="s">
        <v>146</v>
      </c>
      <c r="W3" s="678" t="s">
        <v>147</v>
      </c>
      <c r="X3" s="683" t="s">
        <v>148</v>
      </c>
      <c r="Y3" s="914"/>
      <c r="Z3" s="904"/>
    </row>
    <row r="4" spans="1:28" ht="50.1" customHeight="1">
      <c r="A4" s="659"/>
      <c r="B4" s="707" t="s">
        <v>149</v>
      </c>
      <c r="C4" s="662"/>
      <c r="D4" s="667"/>
      <c r="E4" s="661"/>
      <c r="F4" s="661"/>
      <c r="G4" s="661"/>
      <c r="H4" s="684"/>
      <c r="I4" s="685">
        <f>SUM(C4:H4)</f>
        <v>0</v>
      </c>
      <c r="J4" s="662"/>
      <c r="K4" s="661"/>
      <c r="L4" s="684"/>
      <c r="M4" s="685">
        <f t="shared" ref="M4:M10" si="0">SUM(J4:L4)</f>
        <v>0</v>
      </c>
      <c r="N4" s="686"/>
      <c r="O4" s="685">
        <f>SUM(I4,M4,N4)</f>
        <v>0</v>
      </c>
      <c r="P4" s="687"/>
      <c r="Q4" s="687"/>
      <c r="R4" s="685">
        <f>SUM(O4:Q4)</f>
        <v>0</v>
      </c>
      <c r="S4" s="663"/>
      <c r="T4" s="664"/>
      <c r="U4" s="664"/>
      <c r="V4" s="664"/>
      <c r="W4" s="664"/>
      <c r="X4" s="688"/>
      <c r="Y4" s="681">
        <f>SUM(S4:X4)</f>
        <v>0</v>
      </c>
      <c r="Z4" s="680">
        <f>R4+Y4</f>
        <v>0</v>
      </c>
    </row>
    <row r="5" spans="1:28" ht="50.1" customHeight="1">
      <c r="A5" s="660"/>
      <c r="B5" s="707" t="s">
        <v>150</v>
      </c>
      <c r="C5" s="662"/>
      <c r="D5" s="661"/>
      <c r="E5" s="661"/>
      <c r="F5" s="661"/>
      <c r="G5" s="661"/>
      <c r="H5" s="684"/>
      <c r="I5" s="685">
        <f t="shared" ref="I5:I10" si="1">SUM(C5:H5)</f>
        <v>0</v>
      </c>
      <c r="J5" s="662"/>
      <c r="K5" s="661"/>
      <c r="L5" s="684"/>
      <c r="M5" s="685">
        <f t="shared" si="0"/>
        <v>0</v>
      </c>
      <c r="N5" s="686"/>
      <c r="O5" s="685">
        <f t="shared" ref="O5:O10" si="2">SUM(I5,M5,N5)</f>
        <v>0</v>
      </c>
      <c r="P5" s="687"/>
      <c r="Q5" s="687"/>
      <c r="R5" s="685">
        <f t="shared" ref="R5:R10" si="3">SUM(O5:Q5)</f>
        <v>0</v>
      </c>
      <c r="S5" s="663"/>
      <c r="T5" s="664"/>
      <c r="U5" s="664"/>
      <c r="V5" s="664"/>
      <c r="W5" s="664"/>
      <c r="X5" s="688"/>
      <c r="Y5" s="681">
        <f t="shared" ref="Y5:Y10" si="4">SUM(S5:X5)</f>
        <v>0</v>
      </c>
      <c r="Z5" s="680">
        <f t="shared" ref="Z5:Z10" si="5">R5+Y5</f>
        <v>0</v>
      </c>
      <c r="AA5" s="668"/>
      <c r="AB5" s="665"/>
    </row>
    <row r="6" spans="1:28" ht="50.1" customHeight="1">
      <c r="A6" s="660"/>
      <c r="B6" s="761" t="s">
        <v>151</v>
      </c>
      <c r="C6" s="662"/>
      <c r="D6" s="661"/>
      <c r="E6" s="661"/>
      <c r="F6" s="661"/>
      <c r="G6" s="661"/>
      <c r="H6" s="684"/>
      <c r="I6" s="685">
        <f t="shared" si="1"/>
        <v>0</v>
      </c>
      <c r="J6" s="662"/>
      <c r="K6" s="661"/>
      <c r="L6" s="684"/>
      <c r="M6" s="685">
        <f t="shared" si="0"/>
        <v>0</v>
      </c>
      <c r="N6" s="686"/>
      <c r="O6" s="685">
        <f t="shared" si="2"/>
        <v>0</v>
      </c>
      <c r="P6" s="687"/>
      <c r="Q6" s="687"/>
      <c r="R6" s="685">
        <f t="shared" si="3"/>
        <v>0</v>
      </c>
      <c r="S6" s="663"/>
      <c r="T6" s="664"/>
      <c r="U6" s="664"/>
      <c r="V6" s="664"/>
      <c r="W6" s="664"/>
      <c r="X6" s="688"/>
      <c r="Y6" s="681">
        <f t="shared" si="4"/>
        <v>0</v>
      </c>
      <c r="Z6" s="680">
        <f t="shared" si="5"/>
        <v>0</v>
      </c>
      <c r="AA6" s="668"/>
    </row>
    <row r="7" spans="1:28" ht="50.1" customHeight="1">
      <c r="A7" s="599"/>
      <c r="B7" s="707" t="s">
        <v>152</v>
      </c>
      <c r="C7" s="662"/>
      <c r="D7" s="661"/>
      <c r="E7" s="661"/>
      <c r="F7" s="661"/>
      <c r="G7" s="661"/>
      <c r="H7" s="684"/>
      <c r="I7" s="685">
        <f t="shared" si="1"/>
        <v>0</v>
      </c>
      <c r="J7" s="662"/>
      <c r="K7" s="661"/>
      <c r="L7" s="684"/>
      <c r="M7" s="685">
        <f t="shared" si="0"/>
        <v>0</v>
      </c>
      <c r="N7" s="687"/>
      <c r="O7" s="685">
        <f t="shared" si="2"/>
        <v>0</v>
      </c>
      <c r="P7" s="687"/>
      <c r="Q7" s="687"/>
      <c r="R7" s="685">
        <f t="shared" si="3"/>
        <v>0</v>
      </c>
      <c r="S7" s="663"/>
      <c r="T7" s="664"/>
      <c r="U7" s="664"/>
      <c r="V7" s="664"/>
      <c r="W7" s="664"/>
      <c r="X7" s="688"/>
      <c r="Y7" s="681">
        <f t="shared" si="4"/>
        <v>0</v>
      </c>
      <c r="Z7" s="680">
        <f t="shared" si="5"/>
        <v>0</v>
      </c>
      <c r="AA7" s="668"/>
      <c r="AB7" s="665"/>
    </row>
    <row r="8" spans="1:28" ht="50.1" customHeight="1">
      <c r="A8" s="599"/>
      <c r="B8" s="707" t="s">
        <v>153</v>
      </c>
      <c r="C8" s="662"/>
      <c r="D8" s="661"/>
      <c r="E8" s="661"/>
      <c r="F8" s="661"/>
      <c r="G8" s="661"/>
      <c r="H8" s="684"/>
      <c r="I8" s="685">
        <f t="shared" si="1"/>
        <v>0</v>
      </c>
      <c r="J8" s="662"/>
      <c r="K8" s="661"/>
      <c r="L8" s="684"/>
      <c r="M8" s="685">
        <f t="shared" si="0"/>
        <v>0</v>
      </c>
      <c r="N8" s="686"/>
      <c r="O8" s="685">
        <f t="shared" si="2"/>
        <v>0</v>
      </c>
      <c r="P8" s="687"/>
      <c r="Q8" s="687"/>
      <c r="R8" s="685">
        <f t="shared" si="3"/>
        <v>0</v>
      </c>
      <c r="S8" s="663"/>
      <c r="T8" s="664"/>
      <c r="U8" s="664"/>
      <c r="V8" s="664"/>
      <c r="W8" s="664"/>
      <c r="X8" s="688"/>
      <c r="Y8" s="681">
        <f t="shared" si="4"/>
        <v>0</v>
      </c>
      <c r="Z8" s="680">
        <f t="shared" si="5"/>
        <v>0</v>
      </c>
      <c r="AA8" s="668"/>
    </row>
    <row r="9" spans="1:28" ht="50.1" customHeight="1">
      <c r="A9" s="599"/>
      <c r="B9" s="707" t="s">
        <v>154</v>
      </c>
      <c r="C9" s="662"/>
      <c r="D9" s="661"/>
      <c r="E9" s="661"/>
      <c r="F9" s="661"/>
      <c r="G9" s="661"/>
      <c r="H9" s="684"/>
      <c r="I9" s="685">
        <f t="shared" si="1"/>
        <v>0</v>
      </c>
      <c r="J9" s="662"/>
      <c r="K9" s="661"/>
      <c r="L9" s="684"/>
      <c r="M9" s="685">
        <f t="shared" si="0"/>
        <v>0</v>
      </c>
      <c r="N9" s="686"/>
      <c r="O9" s="685">
        <f t="shared" si="2"/>
        <v>0</v>
      </c>
      <c r="P9" s="687"/>
      <c r="Q9" s="687"/>
      <c r="R9" s="685">
        <f t="shared" si="3"/>
        <v>0</v>
      </c>
      <c r="S9" s="663"/>
      <c r="T9" s="664"/>
      <c r="U9" s="664"/>
      <c r="V9" s="664"/>
      <c r="W9" s="664"/>
      <c r="X9" s="688"/>
      <c r="Y9" s="681">
        <f t="shared" si="4"/>
        <v>0</v>
      </c>
      <c r="Z9" s="680">
        <f t="shared" si="5"/>
        <v>0</v>
      </c>
      <c r="AA9" s="668"/>
    </row>
    <row r="10" spans="1:28" ht="50.1" customHeight="1" thickBot="1">
      <c r="A10" s="599"/>
      <c r="B10" s="708" t="s">
        <v>155</v>
      </c>
      <c r="C10" s="689"/>
      <c r="D10" s="666"/>
      <c r="E10" s="666"/>
      <c r="F10" s="666"/>
      <c r="G10" s="666"/>
      <c r="H10" s="690"/>
      <c r="I10" s="691">
        <f t="shared" si="1"/>
        <v>0</v>
      </c>
      <c r="J10" s="689"/>
      <c r="K10" s="666"/>
      <c r="L10" s="690"/>
      <c r="M10" s="691">
        <f t="shared" si="0"/>
        <v>0</v>
      </c>
      <c r="N10" s="692"/>
      <c r="O10" s="691">
        <f t="shared" si="2"/>
        <v>0</v>
      </c>
      <c r="P10" s="693"/>
      <c r="Q10" s="693"/>
      <c r="R10" s="691">
        <f t="shared" si="3"/>
        <v>0</v>
      </c>
      <c r="S10" s="694"/>
      <c r="T10" s="695"/>
      <c r="U10" s="695"/>
      <c r="V10" s="695"/>
      <c r="W10" s="695"/>
      <c r="X10" s="696"/>
      <c r="Y10" s="697">
        <f t="shared" si="4"/>
        <v>0</v>
      </c>
      <c r="Z10" s="698">
        <f t="shared" si="5"/>
        <v>0</v>
      </c>
      <c r="AA10" s="668"/>
    </row>
    <row r="11" spans="1:28" ht="40.35" customHeight="1" thickBot="1">
      <c r="A11" s="599"/>
      <c r="B11" s="709" t="s">
        <v>156</v>
      </c>
      <c r="C11" s="699">
        <f t="shared" ref="C11:K11" si="6">SUM(C4:C10)</f>
        <v>0</v>
      </c>
      <c r="D11" s="700">
        <f t="shared" si="6"/>
        <v>0</v>
      </c>
      <c r="E11" s="700">
        <f t="shared" si="6"/>
        <v>0</v>
      </c>
      <c r="F11" s="700">
        <f t="shared" si="6"/>
        <v>0</v>
      </c>
      <c r="G11" s="700">
        <f t="shared" si="6"/>
        <v>0</v>
      </c>
      <c r="H11" s="701">
        <f t="shared" si="6"/>
        <v>0</v>
      </c>
      <c r="I11" s="702">
        <f t="shared" si="6"/>
        <v>0</v>
      </c>
      <c r="J11" s="699">
        <f t="shared" si="6"/>
        <v>0</v>
      </c>
      <c r="K11" s="700">
        <f t="shared" si="6"/>
        <v>0</v>
      </c>
      <c r="L11" s="701">
        <f t="shared" ref="L11:Z11" si="7">SUM(L4:L10)</f>
        <v>0</v>
      </c>
      <c r="M11" s="702">
        <f t="shared" si="7"/>
        <v>0</v>
      </c>
      <c r="N11" s="703">
        <f t="shared" si="7"/>
        <v>0</v>
      </c>
      <c r="O11" s="702">
        <f t="shared" si="7"/>
        <v>0</v>
      </c>
      <c r="P11" s="703">
        <f t="shared" si="7"/>
        <v>0</v>
      </c>
      <c r="Q11" s="703">
        <f t="shared" si="7"/>
        <v>0</v>
      </c>
      <c r="R11" s="702">
        <f t="shared" si="7"/>
        <v>0</v>
      </c>
      <c r="S11" s="699">
        <f t="shared" si="7"/>
        <v>0</v>
      </c>
      <c r="T11" s="700">
        <f t="shared" si="7"/>
        <v>0</v>
      </c>
      <c r="U11" s="700">
        <f t="shared" si="7"/>
        <v>0</v>
      </c>
      <c r="V11" s="700">
        <f t="shared" si="7"/>
        <v>0</v>
      </c>
      <c r="W11" s="700">
        <f t="shared" si="7"/>
        <v>0</v>
      </c>
      <c r="X11" s="701">
        <f t="shared" si="7"/>
        <v>0</v>
      </c>
      <c r="Y11" s="704">
        <f t="shared" si="7"/>
        <v>0</v>
      </c>
      <c r="Z11" s="705">
        <f t="shared" si="7"/>
        <v>0</v>
      </c>
      <c r="AA11" s="674"/>
    </row>
    <row r="12" spans="1:28">
      <c r="C12" s="670"/>
      <c r="D12" s="670"/>
      <c r="E12" s="670"/>
      <c r="F12" s="670"/>
      <c r="G12" s="670"/>
      <c r="H12" s="670"/>
      <c r="I12" s="670"/>
      <c r="J12" s="670"/>
      <c r="K12" s="670"/>
    </row>
    <row r="13" spans="1:28" ht="23.45" customHeight="1">
      <c r="B13" s="671" t="s">
        <v>157</v>
      </c>
      <c r="D13" s="670"/>
      <c r="E13" s="670"/>
      <c r="F13" s="670"/>
      <c r="G13" s="670"/>
      <c r="H13" s="670"/>
      <c r="I13" s="670"/>
      <c r="J13" s="670"/>
      <c r="K13" s="670"/>
    </row>
    <row r="14" spans="1:28" ht="23.45" customHeight="1">
      <c r="B14" s="672" t="s">
        <v>158</v>
      </c>
    </row>
    <row r="15" spans="1:28" ht="23.45" customHeight="1">
      <c r="B15" s="356" t="s">
        <v>159</v>
      </c>
    </row>
    <row r="16" spans="1:28" ht="23.45" customHeight="1">
      <c r="B16" s="675" t="s">
        <v>160</v>
      </c>
    </row>
    <row r="17" spans="2:16" ht="23.45" customHeight="1">
      <c r="B17" s="353"/>
      <c r="C17" s="356"/>
      <c r="D17" s="356"/>
      <c r="E17" s="356"/>
      <c r="F17" s="356"/>
      <c r="G17" s="356"/>
      <c r="H17" s="356"/>
      <c r="I17" s="356"/>
      <c r="J17" s="356"/>
      <c r="K17" s="356"/>
    </row>
    <row r="18" spans="2:16" ht="23.45" customHeight="1">
      <c r="B18" s="353"/>
      <c r="C18" s="356"/>
      <c r="D18" s="356"/>
      <c r="E18" s="356"/>
      <c r="F18" s="356"/>
      <c r="G18" s="356"/>
      <c r="H18" s="356"/>
      <c r="I18" s="356"/>
      <c r="J18" s="356"/>
      <c r="K18" s="356"/>
    </row>
    <row r="19" spans="2:16" ht="23.45" customHeight="1">
      <c r="B19" s="353"/>
      <c r="I19" s="673"/>
      <c r="J19" s="673"/>
      <c r="K19" s="673"/>
    </row>
    <row r="20" spans="2:16" ht="23.45" customHeight="1">
      <c r="B20" s="353"/>
      <c r="I20" s="374"/>
      <c r="J20" s="374"/>
      <c r="K20" s="374"/>
      <c r="L20" s="416"/>
      <c r="M20" s="416"/>
      <c r="N20" s="416"/>
      <c r="O20" s="416"/>
      <c r="P20" s="416"/>
    </row>
    <row r="21" spans="2:16" ht="23.45" customHeight="1">
      <c r="B21" s="353"/>
      <c r="I21" s="388"/>
      <c r="J21" s="388"/>
      <c r="K21" s="388"/>
      <c r="L21" s="600"/>
      <c r="M21" s="600"/>
      <c r="N21" s="600"/>
      <c r="O21" s="600"/>
      <c r="P21" s="600"/>
    </row>
    <row r="22" spans="2:16" ht="23.45" customHeight="1">
      <c r="B22" s="353"/>
      <c r="I22" s="388"/>
      <c r="J22" s="388"/>
      <c r="K22" s="388"/>
      <c r="L22" s="600"/>
      <c r="M22" s="600"/>
      <c r="N22" s="600"/>
      <c r="O22" s="600"/>
      <c r="P22" s="600"/>
    </row>
    <row r="23" spans="2:16" ht="23.45" customHeight="1">
      <c r="B23" s="353"/>
      <c r="I23" s="388"/>
      <c r="J23" s="388"/>
      <c r="K23" s="388"/>
      <c r="L23" s="600"/>
      <c r="M23" s="600"/>
      <c r="N23" s="600"/>
      <c r="O23" s="600"/>
      <c r="P23" s="600"/>
    </row>
    <row r="24" spans="2:16" ht="23.45" customHeight="1">
      <c r="B24" s="353"/>
      <c r="I24" s="388"/>
      <c r="J24" s="388"/>
      <c r="K24" s="388"/>
      <c r="L24" s="600"/>
      <c r="M24" s="600"/>
      <c r="N24" s="600"/>
      <c r="O24" s="600"/>
      <c r="P24" s="600"/>
    </row>
    <row r="25" spans="2:16" ht="23.45" customHeight="1">
      <c r="B25" s="353"/>
      <c r="I25" s="388"/>
      <c r="J25" s="388"/>
      <c r="K25" s="388"/>
      <c r="L25" s="600"/>
      <c r="M25" s="600"/>
      <c r="N25" s="600"/>
      <c r="O25" s="600"/>
      <c r="P25" s="600"/>
    </row>
    <row r="26" spans="2:16" ht="23.45" customHeight="1"/>
    <row r="27" spans="2:16" ht="23.45" customHeight="1"/>
  </sheetData>
  <mergeCells count="13">
    <mergeCell ref="Z2:Z3"/>
    <mergeCell ref="M2:M3"/>
    <mergeCell ref="J2:L2"/>
    <mergeCell ref="O2:O3"/>
    <mergeCell ref="B2:B3"/>
    <mergeCell ref="R2:R3"/>
    <mergeCell ref="S2:X2"/>
    <mergeCell ref="Y2:Y3"/>
    <mergeCell ref="Q2:Q3"/>
    <mergeCell ref="C2:H2"/>
    <mergeCell ref="P2:P3"/>
    <mergeCell ref="I2:I3"/>
    <mergeCell ref="N2:N3"/>
  </mergeCells>
  <hyperlinks>
    <hyperlink ref="B16" r:id="rId1" display="https://www.statistik.at/en/statistics/energy-and-environment/energy/useful-energy-analysis" xr:uid="{42B36015-AF8D-44CC-9477-1C4851807DB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U116"/>
  <sheetViews>
    <sheetView showGridLines="0" topLeftCell="D1" zoomScale="80" zoomScaleNormal="80" workbookViewId="0">
      <selection activeCell="G26" sqref="G26"/>
    </sheetView>
  </sheetViews>
  <sheetFormatPr defaultColWidth="9.140625" defaultRowHeight="14.45"/>
  <cols>
    <col min="1" max="1" width="3.7109375" customWidth="1"/>
    <col min="2" max="2" width="3.5703125" customWidth="1"/>
    <col min="3" max="3" width="10.5703125" customWidth="1"/>
    <col min="4" max="4" width="29.85546875" bestFit="1" customWidth="1"/>
    <col min="5" max="5" width="3.5703125" customWidth="1"/>
    <col min="6" max="6" width="3.7109375" customWidth="1"/>
    <col min="7" max="7" width="50.7109375" style="400" customWidth="1"/>
    <col min="8" max="8" width="15.5703125" style="462" customWidth="1"/>
    <col min="9" max="9" width="17.7109375" style="462" customWidth="1"/>
    <col min="10" max="10" width="15.5703125" style="462" customWidth="1"/>
    <col min="11" max="11" width="15.5703125" style="358" customWidth="1"/>
    <col min="12" max="12" width="5.7109375" customWidth="1"/>
    <col min="13" max="13" width="20.5703125" customWidth="1"/>
    <col min="14" max="14" width="10.5703125" customWidth="1"/>
    <col min="15" max="15" width="5.7109375" customWidth="1"/>
    <col min="16" max="16" width="20.5703125" style="400" customWidth="1"/>
    <col min="17" max="18" width="10.5703125" style="400" customWidth="1"/>
    <col min="19" max="19" width="5.5703125" style="400" customWidth="1"/>
    <col min="20" max="20" width="5.7109375" style="361" customWidth="1"/>
    <col min="21" max="21" width="21.85546875" style="361" customWidth="1"/>
  </cols>
  <sheetData>
    <row r="1" spans="2:21" ht="50.1" customHeight="1" thickBot="1">
      <c r="F1" s="361"/>
      <c r="G1" s="369" t="s">
        <v>161</v>
      </c>
      <c r="H1" s="369"/>
      <c r="I1" s="369"/>
      <c r="J1" s="369"/>
      <c r="K1" s="369"/>
      <c r="L1" s="369"/>
      <c r="M1" s="369"/>
      <c r="N1" s="369"/>
      <c r="O1" s="369"/>
      <c r="P1" s="369"/>
      <c r="Q1" s="369"/>
      <c r="R1" s="369"/>
      <c r="S1" s="369"/>
      <c r="T1"/>
      <c r="U1"/>
    </row>
    <row r="2" spans="2:21" s="361" customFormat="1" ht="20.100000000000001" customHeight="1">
      <c r="B2" s="647"/>
      <c r="C2" s="917" t="s">
        <v>162</v>
      </c>
      <c r="D2" s="917"/>
      <c r="E2" s="657"/>
      <c r="G2" s="735" t="s">
        <v>163</v>
      </c>
      <c r="H2" s="736" t="s">
        <v>164</v>
      </c>
      <c r="I2" s="372" t="s">
        <v>165</v>
      </c>
      <c r="J2" s="373" t="s">
        <v>166</v>
      </c>
      <c r="K2" s="656" t="s">
        <v>167</v>
      </c>
      <c r="M2" s="401" t="s">
        <v>168</v>
      </c>
      <c r="N2" s="401" t="s">
        <v>169</v>
      </c>
      <c r="O2" s="401" t="s">
        <v>170</v>
      </c>
      <c r="P2" s="375" t="s">
        <v>168</v>
      </c>
      <c r="Q2" s="375" t="s">
        <v>166</v>
      </c>
      <c r="R2" s="375" t="s">
        <v>169</v>
      </c>
      <c r="S2" s="375" t="s">
        <v>170</v>
      </c>
      <c r="T2" s="376" t="s">
        <v>171</v>
      </c>
    </row>
    <row r="3" spans="2:21" ht="20.100000000000001" customHeight="1" thickBot="1">
      <c r="B3" s="648"/>
      <c r="C3" s="918"/>
      <c r="D3" s="918"/>
      <c r="E3" s="658"/>
      <c r="F3" s="361"/>
      <c r="G3" s="382" t="s">
        <v>172</v>
      </c>
      <c r="H3" s="423" t="s">
        <v>173</v>
      </c>
      <c r="I3" s="420"/>
      <c r="J3" s="421"/>
      <c r="K3" s="422">
        <f>18937/10^6</f>
        <v>1.8936999999999999E-2</v>
      </c>
      <c r="L3" s="361"/>
      <c r="M3" s="382"/>
      <c r="N3" s="382"/>
      <c r="O3" s="355"/>
      <c r="P3" s="382"/>
      <c r="Q3" s="394"/>
      <c r="R3" s="382"/>
      <c r="S3" s="355"/>
      <c r="T3" s="376"/>
      <c r="U3"/>
    </row>
    <row r="4" spans="2:21" ht="20.100000000000001" customHeight="1" thickBot="1">
      <c r="B4" s="648"/>
      <c r="C4" s="756"/>
      <c r="D4" s="376" t="s">
        <v>174</v>
      </c>
      <c r="E4" s="649"/>
      <c r="F4" s="361"/>
      <c r="G4" s="643" t="s">
        <v>175</v>
      </c>
      <c r="H4" s="423" t="s">
        <v>176</v>
      </c>
      <c r="I4" s="467"/>
      <c r="J4" s="425"/>
      <c r="K4" s="426"/>
      <c r="L4" s="361"/>
      <c r="M4" s="398"/>
      <c r="N4" s="398"/>
      <c r="O4" s="402"/>
      <c r="P4" s="398"/>
      <c r="Q4" s="403"/>
      <c r="R4" s="398"/>
      <c r="S4" s="402"/>
      <c r="T4" s="376"/>
      <c r="U4"/>
    </row>
    <row r="5" spans="2:21" ht="20.100000000000001" customHeight="1">
      <c r="B5" s="648"/>
      <c r="C5" s="755"/>
      <c r="D5" s="376" t="s">
        <v>177</v>
      </c>
      <c r="E5" s="649"/>
      <c r="F5" s="361"/>
      <c r="G5" s="643" t="s">
        <v>178</v>
      </c>
      <c r="H5" s="423" t="s">
        <v>176</v>
      </c>
      <c r="I5" s="467"/>
      <c r="J5" s="425"/>
      <c r="K5" s="426"/>
      <c r="L5" s="361"/>
      <c r="M5" s="398"/>
      <c r="N5" s="398"/>
      <c r="O5" s="402"/>
      <c r="P5" s="398"/>
      <c r="Q5" s="403"/>
      <c r="R5" s="398"/>
      <c r="S5" s="402"/>
      <c r="T5" s="376"/>
      <c r="U5"/>
    </row>
    <row r="6" spans="2:21" ht="20.100000000000001" customHeight="1">
      <c r="B6" s="648"/>
      <c r="C6" s="655"/>
      <c r="D6" s="376" t="s">
        <v>167</v>
      </c>
      <c r="E6" s="649"/>
      <c r="F6" s="361"/>
      <c r="G6" s="382" t="s">
        <v>179</v>
      </c>
      <c r="H6" s="423" t="s">
        <v>180</v>
      </c>
      <c r="I6" s="427"/>
      <c r="J6" s="421"/>
      <c r="K6" s="428">
        <v>2.2799999999999998</v>
      </c>
      <c r="L6" s="361"/>
      <c r="M6" s="394"/>
      <c r="N6" s="382"/>
      <c r="O6" s="355"/>
      <c r="P6" s="394"/>
      <c r="Q6" s="394"/>
      <c r="R6" s="382"/>
      <c r="S6" s="355"/>
      <c r="T6" s="376"/>
      <c r="U6"/>
    </row>
    <row r="7" spans="2:21" ht="20.100000000000001" customHeight="1">
      <c r="B7" s="648"/>
      <c r="C7" s="362"/>
      <c r="D7" s="376" t="s">
        <v>181</v>
      </c>
      <c r="E7" s="649"/>
      <c r="F7" s="361"/>
      <c r="G7" s="382" t="s">
        <v>182</v>
      </c>
      <c r="H7" s="423" t="s">
        <v>183</v>
      </c>
      <c r="I7" s="429"/>
      <c r="J7" s="430"/>
      <c r="K7" s="431">
        <f>K3/K6</f>
        <v>8.3057017543859656E-3</v>
      </c>
      <c r="L7" s="361"/>
      <c r="M7" s="404"/>
      <c r="N7" s="404"/>
      <c r="O7" s="404"/>
      <c r="P7" s="404"/>
      <c r="Q7" s="404"/>
      <c r="R7" s="405"/>
      <c r="S7" s="406"/>
      <c r="T7" s="376"/>
      <c r="U7"/>
    </row>
    <row r="8" spans="2:21" ht="20.100000000000001" customHeight="1">
      <c r="B8" s="648"/>
      <c r="C8" s="384"/>
      <c r="D8" s="376" t="s">
        <v>184</v>
      </c>
      <c r="E8" s="649"/>
      <c r="F8" s="361"/>
      <c r="G8" s="643" t="s">
        <v>185</v>
      </c>
      <c r="H8" s="423" t="s">
        <v>176</v>
      </c>
      <c r="I8" s="427"/>
      <c r="J8" s="421"/>
      <c r="K8" s="432">
        <v>54.27</v>
      </c>
      <c r="L8" s="361"/>
      <c r="M8" s="394"/>
      <c r="N8" s="382"/>
      <c r="O8" s="407"/>
      <c r="P8" s="394"/>
      <c r="Q8" s="408"/>
      <c r="R8" s="382"/>
      <c r="S8" s="407"/>
      <c r="T8" s="376"/>
      <c r="U8"/>
    </row>
    <row r="9" spans="2:21" ht="20.100000000000001" customHeight="1">
      <c r="B9" s="648"/>
      <c r="C9" s="386"/>
      <c r="D9" s="376" t="s">
        <v>186</v>
      </c>
      <c r="E9" s="649"/>
      <c r="F9" s="361"/>
      <c r="G9" s="382" t="s">
        <v>187</v>
      </c>
      <c r="H9" s="423" t="s">
        <v>176</v>
      </c>
      <c r="I9" s="427"/>
      <c r="J9" s="421"/>
      <c r="K9" s="432">
        <v>92.65</v>
      </c>
      <c r="L9" s="361"/>
      <c r="M9" s="394"/>
      <c r="N9" s="382"/>
      <c r="O9" s="407"/>
      <c r="P9" s="394"/>
      <c r="Q9" s="408"/>
      <c r="R9" s="382"/>
      <c r="S9" s="407"/>
      <c r="T9" s="376"/>
      <c r="U9"/>
    </row>
    <row r="10" spans="2:21" ht="20.100000000000001" customHeight="1" thickBot="1">
      <c r="B10" s="648"/>
      <c r="C10" s="389"/>
      <c r="D10" s="376" t="s">
        <v>188</v>
      </c>
      <c r="E10" s="649"/>
      <c r="F10" s="361"/>
      <c r="G10" s="382" t="s">
        <v>189</v>
      </c>
      <c r="H10" s="423" t="s">
        <v>173</v>
      </c>
      <c r="I10" s="433"/>
      <c r="J10" s="430"/>
      <c r="K10" s="431">
        <f>K3*(K8/100)*(K9/100)</f>
        <v>9.5217423223500023E-3</v>
      </c>
      <c r="L10" s="361"/>
      <c r="M10" s="404"/>
      <c r="N10" s="404"/>
      <c r="O10" s="404"/>
      <c r="P10" s="404"/>
      <c r="Q10" s="404"/>
      <c r="R10" s="405"/>
      <c r="S10" s="406"/>
      <c r="T10" s="376" t="s">
        <v>171</v>
      </c>
      <c r="U10"/>
    </row>
    <row r="11" spans="2:21" ht="20.100000000000001" customHeight="1" thickBot="1">
      <c r="B11" s="648"/>
      <c r="D11" s="376"/>
      <c r="E11" s="649"/>
      <c r="F11" s="361"/>
      <c r="G11" s="399"/>
      <c r="H11" s="644"/>
      <c r="I11" s="434"/>
      <c r="J11" s="434"/>
      <c r="K11" s="435"/>
      <c r="L11" s="361"/>
      <c r="M11" s="361"/>
      <c r="N11" s="361"/>
      <c r="O11" s="361"/>
      <c r="P11" s="409"/>
      <c r="Q11" s="409"/>
      <c r="R11" s="409"/>
      <c r="S11" s="409"/>
      <c r="T11" s="376" t="s">
        <v>171</v>
      </c>
      <c r="U11"/>
    </row>
    <row r="12" spans="2:21" s="361" customFormat="1" ht="20.100000000000001" customHeight="1">
      <c r="B12" s="648"/>
      <c r="C12" s="752" t="s">
        <v>190</v>
      </c>
      <c r="D12" s="646" t="s">
        <v>191</v>
      </c>
      <c r="E12" s="650"/>
      <c r="G12" s="735" t="s">
        <v>163</v>
      </c>
      <c r="H12" s="736" t="s">
        <v>164</v>
      </c>
      <c r="I12" s="372" t="s">
        <v>165</v>
      </c>
      <c r="J12" s="373" t="s">
        <v>166</v>
      </c>
      <c r="K12" s="656" t="s">
        <v>167</v>
      </c>
      <c r="M12" s="401" t="s">
        <v>168</v>
      </c>
      <c r="N12" s="401" t="s">
        <v>169</v>
      </c>
      <c r="O12" s="401" t="s">
        <v>170</v>
      </c>
      <c r="P12" s="375" t="s">
        <v>168</v>
      </c>
      <c r="Q12" s="375" t="s">
        <v>166</v>
      </c>
      <c r="R12" s="375" t="s">
        <v>169</v>
      </c>
      <c r="S12" s="375" t="s">
        <v>170</v>
      </c>
      <c r="T12" s="376" t="s">
        <v>171</v>
      </c>
    </row>
    <row r="13" spans="2:21" ht="20.100000000000001" customHeight="1">
      <c r="B13" s="648"/>
      <c r="C13" s="753" t="s">
        <v>190</v>
      </c>
      <c r="D13" s="376" t="s">
        <v>192</v>
      </c>
      <c r="E13" s="649"/>
      <c r="F13" s="361"/>
      <c r="G13" s="382" t="s">
        <v>72</v>
      </c>
      <c r="H13" s="378" t="s">
        <v>193</v>
      </c>
      <c r="I13" s="437"/>
      <c r="J13" s="438"/>
      <c r="K13" s="432">
        <f>(969.5744/1000)*1.18</f>
        <v>1.1440977919999999</v>
      </c>
      <c r="L13" s="361"/>
      <c r="M13" s="368"/>
      <c r="N13" s="368"/>
      <c r="O13" s="368"/>
      <c r="P13" s="382"/>
      <c r="Q13" s="382"/>
      <c r="R13" s="382"/>
      <c r="S13" s="355"/>
      <c r="T13" s="376"/>
      <c r="U13"/>
    </row>
    <row r="14" spans="2:21" ht="20.100000000000001" customHeight="1">
      <c r="B14" s="648"/>
      <c r="C14" s="754" t="s">
        <v>190</v>
      </c>
      <c r="D14" s="376" t="s">
        <v>194</v>
      </c>
      <c r="E14" s="649"/>
      <c r="F14" s="361"/>
      <c r="G14" s="643" t="s">
        <v>195</v>
      </c>
      <c r="H14" s="378" t="s">
        <v>176</v>
      </c>
      <c r="I14" s="439"/>
      <c r="J14" s="440"/>
      <c r="K14" s="441"/>
      <c r="L14" s="361"/>
      <c r="M14" s="398"/>
      <c r="N14" s="398"/>
      <c r="O14" s="398"/>
      <c r="P14" s="398"/>
      <c r="Q14" s="398"/>
      <c r="R14" s="398"/>
      <c r="S14" s="398"/>
      <c r="T14" s="376"/>
      <c r="U14"/>
    </row>
    <row r="15" spans="2:21" ht="20.100000000000001" customHeight="1" thickBot="1">
      <c r="B15" s="651"/>
      <c r="C15" s="652"/>
      <c r="D15" s="652"/>
      <c r="E15" s="653"/>
      <c r="F15" s="361"/>
      <c r="G15" s="643" t="s">
        <v>196</v>
      </c>
      <c r="H15" s="378" t="s">
        <v>176</v>
      </c>
      <c r="I15" s="439"/>
      <c r="J15" s="440"/>
      <c r="K15" s="441"/>
      <c r="L15" s="361"/>
      <c r="M15" s="398"/>
      <c r="N15" s="398"/>
      <c r="O15" s="398"/>
      <c r="P15" s="398"/>
      <c r="Q15" s="398"/>
      <c r="R15" s="398"/>
      <c r="S15" s="398"/>
      <c r="T15" s="376"/>
      <c r="U15"/>
    </row>
    <row r="16" spans="2:21" ht="20.100000000000001" customHeight="1">
      <c r="F16" s="361"/>
      <c r="G16" s="643" t="s">
        <v>197</v>
      </c>
      <c r="H16" s="378" t="s">
        <v>198</v>
      </c>
      <c r="I16" s="429" t="e">
        <f>I13/I3</f>
        <v>#DIV/0!</v>
      </c>
      <c r="J16" s="442" t="e">
        <f>J13/I3</f>
        <v>#DIV/0!</v>
      </c>
      <c r="K16" s="443">
        <f>K13/K3</f>
        <v>60.416000000000004</v>
      </c>
      <c r="L16" s="361"/>
      <c r="M16" s="404"/>
      <c r="N16" s="404"/>
      <c r="O16" s="404"/>
      <c r="P16" s="404"/>
      <c r="Q16" s="404"/>
      <c r="R16" s="405"/>
      <c r="S16" s="410"/>
      <c r="T16" s="376"/>
      <c r="U16"/>
    </row>
    <row r="17" spans="6:21" ht="20.100000000000001" customHeight="1">
      <c r="F17" s="361"/>
      <c r="G17" s="863" t="s">
        <v>199</v>
      </c>
      <c r="H17" s="445"/>
      <c r="I17" s="446"/>
      <c r="J17" s="447"/>
      <c r="K17" s="448"/>
      <c r="L17" s="361"/>
      <c r="M17" s="411"/>
      <c r="N17" s="411"/>
      <c r="O17" s="411"/>
      <c r="P17" s="411"/>
      <c r="Q17" s="411"/>
      <c r="R17" s="412"/>
      <c r="S17" s="413"/>
      <c r="T17" s="376"/>
      <c r="U17"/>
    </row>
    <row r="18" spans="6:21" ht="20.100000000000001" customHeight="1">
      <c r="F18" s="361"/>
      <c r="G18" s="862" t="s">
        <v>149</v>
      </c>
      <c r="H18" s="450" t="s">
        <v>176</v>
      </c>
      <c r="I18" s="451"/>
      <c r="J18" s="452"/>
      <c r="K18" s="453">
        <v>0.17</v>
      </c>
      <c r="L18" s="361"/>
      <c r="M18" s="414"/>
      <c r="N18" s="414"/>
      <c r="O18" s="414"/>
      <c r="P18" s="414"/>
      <c r="Q18" s="414"/>
      <c r="R18" s="377"/>
      <c r="S18" s="415"/>
      <c r="T18" s="376"/>
      <c r="U18"/>
    </row>
    <row r="19" spans="6:21" ht="20.100000000000001" customHeight="1">
      <c r="F19" s="361"/>
      <c r="G19" s="382" t="s">
        <v>200</v>
      </c>
      <c r="H19" s="378" t="s">
        <v>176</v>
      </c>
      <c r="I19" s="427"/>
      <c r="J19" s="454"/>
      <c r="K19" s="428">
        <v>32</v>
      </c>
      <c r="L19" s="361"/>
      <c r="M19" s="414"/>
      <c r="N19" s="414"/>
      <c r="O19" s="414"/>
      <c r="P19" s="414"/>
      <c r="Q19" s="414"/>
      <c r="R19" s="377"/>
      <c r="S19" s="414"/>
      <c r="T19" s="376"/>
      <c r="U19"/>
    </row>
    <row r="20" spans="6:21" ht="20.100000000000001" customHeight="1">
      <c r="F20" s="361"/>
      <c r="G20" s="382" t="s">
        <v>201</v>
      </c>
      <c r="H20" s="378" t="s">
        <v>176</v>
      </c>
      <c r="I20" s="455">
        <f>100-I19</f>
        <v>100</v>
      </c>
      <c r="J20" s="456">
        <f>100-J19</f>
        <v>100</v>
      </c>
      <c r="K20" s="443">
        <f>100-K19</f>
        <v>68</v>
      </c>
      <c r="L20" s="436"/>
      <c r="M20" s="404"/>
      <c r="N20" s="404"/>
      <c r="O20" s="404"/>
      <c r="P20" s="404"/>
      <c r="Q20" s="404"/>
      <c r="R20" s="405"/>
      <c r="S20" s="406"/>
      <c r="T20" s="376"/>
      <c r="U20"/>
    </row>
    <row r="21" spans="6:21" ht="20.100000000000001" customHeight="1">
      <c r="F21" s="361"/>
      <c r="G21" s="862" t="s">
        <v>202</v>
      </c>
      <c r="H21" s="450" t="s">
        <v>176</v>
      </c>
      <c r="I21" s="451"/>
      <c r="J21" s="452"/>
      <c r="K21" s="453">
        <v>7.2</v>
      </c>
      <c r="L21" s="436"/>
      <c r="M21" s="414"/>
      <c r="N21" s="414"/>
      <c r="O21" s="414"/>
      <c r="P21" s="414"/>
      <c r="Q21" s="414"/>
      <c r="R21" s="377"/>
      <c r="S21" s="415"/>
      <c r="T21" s="376"/>
      <c r="U21"/>
    </row>
    <row r="22" spans="6:21" ht="20.100000000000001" customHeight="1">
      <c r="F22" s="361"/>
      <c r="G22" s="382" t="s">
        <v>203</v>
      </c>
      <c r="H22" s="378" t="s">
        <v>176</v>
      </c>
      <c r="I22" s="427"/>
      <c r="J22" s="454"/>
      <c r="K22" s="428">
        <v>30</v>
      </c>
      <c r="L22" s="436"/>
      <c r="M22" s="414"/>
      <c r="N22" s="414"/>
      <c r="O22" s="414"/>
      <c r="P22" s="414"/>
      <c r="Q22" s="414"/>
      <c r="R22" s="377"/>
      <c r="S22" s="415"/>
      <c r="T22" s="376"/>
      <c r="U22"/>
    </row>
    <row r="23" spans="6:21" ht="20.100000000000001" customHeight="1">
      <c r="F23" s="457"/>
      <c r="G23" s="382" t="s">
        <v>204</v>
      </c>
      <c r="H23" s="378" t="s">
        <v>176</v>
      </c>
      <c r="I23" s="455">
        <f>100-I22</f>
        <v>100</v>
      </c>
      <c r="J23" s="456">
        <f>100-J22</f>
        <v>100</v>
      </c>
      <c r="K23" s="443">
        <f>100-K22</f>
        <v>70</v>
      </c>
      <c r="L23" s="436"/>
      <c r="M23" s="404"/>
      <c r="N23" s="404"/>
      <c r="O23" s="404"/>
      <c r="P23" s="404"/>
      <c r="Q23" s="404"/>
      <c r="R23" s="405"/>
      <c r="S23" s="406"/>
      <c r="T23" s="376"/>
      <c r="U23"/>
    </row>
    <row r="24" spans="6:21" ht="20.100000000000001" customHeight="1">
      <c r="F24" s="361"/>
      <c r="G24" s="862" t="s">
        <v>205</v>
      </c>
      <c r="H24" s="450"/>
      <c r="I24" s="451"/>
      <c r="J24" s="452"/>
      <c r="K24" s="453">
        <v>0</v>
      </c>
      <c r="L24" s="436"/>
      <c r="M24" s="414"/>
      <c r="N24" s="414"/>
      <c r="O24" s="414"/>
      <c r="P24" s="414"/>
      <c r="Q24" s="414"/>
      <c r="R24" s="377"/>
      <c r="S24" s="415"/>
      <c r="T24" s="376"/>
      <c r="U24"/>
    </row>
    <row r="25" spans="6:21" ht="20.100000000000001" customHeight="1">
      <c r="F25" s="361"/>
      <c r="G25" s="862" t="s">
        <v>152</v>
      </c>
      <c r="H25" s="450" t="s">
        <v>176</v>
      </c>
      <c r="I25" s="451"/>
      <c r="J25" s="452"/>
      <c r="K25" s="453">
        <v>15.87</v>
      </c>
      <c r="L25" s="436"/>
      <c r="M25" s="414"/>
      <c r="N25" s="414"/>
      <c r="O25" s="414"/>
      <c r="P25" s="414"/>
      <c r="Q25" s="414"/>
      <c r="R25" s="377"/>
      <c r="S25" s="415"/>
      <c r="T25" s="376"/>
      <c r="U25"/>
    </row>
    <row r="26" spans="6:21" ht="20.100000000000001" customHeight="1">
      <c r="F26" s="361"/>
      <c r="G26" s="382" t="s">
        <v>206</v>
      </c>
      <c r="H26" s="378" t="s">
        <v>176</v>
      </c>
      <c r="I26" s="427"/>
      <c r="J26" s="454"/>
      <c r="K26" s="428">
        <v>0</v>
      </c>
      <c r="L26" s="436"/>
      <c r="M26" s="414"/>
      <c r="N26" s="414"/>
      <c r="O26" s="414"/>
      <c r="P26" s="414"/>
      <c r="Q26" s="414"/>
      <c r="R26" s="377"/>
      <c r="S26" s="415"/>
      <c r="T26" s="376"/>
      <c r="U26"/>
    </row>
    <row r="27" spans="6:21" ht="20.100000000000001" customHeight="1">
      <c r="F27" s="361"/>
      <c r="G27" s="382" t="s">
        <v>207</v>
      </c>
      <c r="H27" s="378" t="s">
        <v>176</v>
      </c>
      <c r="I27" s="427"/>
      <c r="J27" s="454"/>
      <c r="K27" s="428">
        <v>45.57</v>
      </c>
      <c r="L27" s="436"/>
      <c r="M27" s="414"/>
      <c r="N27" s="414"/>
      <c r="O27" s="414"/>
      <c r="P27" s="414"/>
      <c r="Q27" s="414"/>
      <c r="R27" s="377"/>
      <c r="S27" s="415"/>
      <c r="T27" s="376"/>
      <c r="U27"/>
    </row>
    <row r="28" spans="6:21" ht="20.100000000000001" customHeight="1">
      <c r="F28" s="361"/>
      <c r="G28" s="382" t="s">
        <v>208</v>
      </c>
      <c r="H28" s="378" t="s">
        <v>176</v>
      </c>
      <c r="I28" s="427"/>
      <c r="J28" s="454"/>
      <c r="K28" s="428">
        <v>18.53</v>
      </c>
      <c r="L28" s="436"/>
      <c r="M28" s="414"/>
      <c r="N28" s="414"/>
      <c r="O28" s="414"/>
      <c r="P28" s="414"/>
      <c r="Q28" s="414"/>
      <c r="R28" s="377"/>
      <c r="S28" s="415"/>
      <c r="T28" s="376"/>
      <c r="U28"/>
    </row>
    <row r="29" spans="6:21" ht="20.100000000000001" customHeight="1">
      <c r="F29" s="361"/>
      <c r="G29" s="382" t="s">
        <v>209</v>
      </c>
      <c r="H29" s="378" t="s">
        <v>176</v>
      </c>
      <c r="I29" s="676"/>
      <c r="J29" s="454"/>
      <c r="K29" s="428">
        <v>12</v>
      </c>
      <c r="L29" s="436"/>
      <c r="M29" s="414"/>
      <c r="N29" s="414"/>
      <c r="O29" s="414"/>
      <c r="P29" s="414"/>
      <c r="Q29" s="414"/>
      <c r="R29" s="377"/>
      <c r="S29" s="415"/>
      <c r="T29" s="376"/>
      <c r="U29"/>
    </row>
    <row r="30" spans="6:21" ht="20.100000000000001" customHeight="1">
      <c r="F30" s="361"/>
      <c r="G30" s="382" t="s">
        <v>210</v>
      </c>
      <c r="H30" s="378" t="s">
        <v>176</v>
      </c>
      <c r="I30" s="455">
        <f>100-SUM(I26:I29)</f>
        <v>100</v>
      </c>
      <c r="J30" s="456">
        <f>100-SUM(J26:J29)</f>
        <v>100</v>
      </c>
      <c r="K30" s="456">
        <f>100-SUM(K26:K29)</f>
        <v>23.900000000000006</v>
      </c>
      <c r="L30" s="436"/>
      <c r="M30" s="404"/>
      <c r="N30" s="404"/>
      <c r="O30" s="404"/>
      <c r="P30" s="404"/>
      <c r="Q30" s="404"/>
      <c r="R30" s="405"/>
      <c r="S30" s="406"/>
      <c r="T30" s="376"/>
      <c r="U30"/>
    </row>
    <row r="31" spans="6:21" ht="20.100000000000001" customHeight="1">
      <c r="F31" s="361"/>
      <c r="G31" s="862" t="s">
        <v>211</v>
      </c>
      <c r="H31" s="450" t="s">
        <v>176</v>
      </c>
      <c r="I31" s="451"/>
      <c r="J31" s="452"/>
      <c r="K31" s="453">
        <v>74.5</v>
      </c>
      <c r="L31" s="436"/>
      <c r="M31" s="414"/>
      <c r="N31" s="414"/>
      <c r="O31" s="414"/>
      <c r="P31" s="414"/>
      <c r="Q31" s="414"/>
      <c r="R31" s="377"/>
      <c r="S31" s="415"/>
      <c r="T31" s="376"/>
      <c r="U31"/>
    </row>
    <row r="32" spans="6:21" ht="20.100000000000001" customHeight="1">
      <c r="F32" s="361"/>
      <c r="G32" s="382" t="s">
        <v>212</v>
      </c>
      <c r="H32" s="378" t="s">
        <v>176</v>
      </c>
      <c r="I32" s="427"/>
      <c r="J32" s="454"/>
      <c r="K32" s="428"/>
      <c r="L32" s="436"/>
      <c r="M32" s="414"/>
      <c r="N32" s="414"/>
      <c r="O32" s="414"/>
      <c r="P32" s="414"/>
      <c r="Q32" s="414"/>
      <c r="R32" s="377"/>
      <c r="S32" s="415"/>
      <c r="T32" s="376"/>
      <c r="U32"/>
    </row>
    <row r="33" spans="2:21" ht="20.100000000000001" customHeight="1">
      <c r="F33" s="361"/>
      <c r="G33" s="382" t="s">
        <v>213</v>
      </c>
      <c r="H33" s="378" t="s">
        <v>176</v>
      </c>
      <c r="I33" s="427"/>
      <c r="J33" s="454"/>
      <c r="K33" s="428">
        <f>9.19+3.24</f>
        <v>12.43</v>
      </c>
      <c r="L33" s="436"/>
      <c r="M33" s="414"/>
      <c r="N33" s="414"/>
      <c r="O33" s="414"/>
      <c r="P33" s="414"/>
      <c r="Q33" s="414"/>
      <c r="R33" s="377"/>
      <c r="S33" s="415"/>
      <c r="T33" s="376"/>
      <c r="U33"/>
    </row>
    <row r="34" spans="2:21" ht="20.100000000000001" customHeight="1">
      <c r="F34" s="361"/>
      <c r="G34" s="382" t="s">
        <v>214</v>
      </c>
      <c r="H34" s="378" t="s">
        <v>176</v>
      </c>
      <c r="I34" s="427"/>
      <c r="J34" s="454"/>
      <c r="K34" s="428"/>
      <c r="L34" s="436"/>
      <c r="M34" s="414"/>
      <c r="N34" s="414"/>
      <c r="O34" s="414"/>
      <c r="P34" s="414"/>
      <c r="Q34" s="414"/>
      <c r="R34" s="377"/>
      <c r="S34" s="415"/>
      <c r="T34" s="376"/>
      <c r="U34"/>
    </row>
    <row r="35" spans="2:21" ht="20.100000000000001" customHeight="1">
      <c r="F35" s="361"/>
      <c r="G35" s="382" t="s">
        <v>215</v>
      </c>
      <c r="H35" s="378" t="s">
        <v>176</v>
      </c>
      <c r="I35" s="427"/>
      <c r="J35" s="454"/>
      <c r="K35" s="428"/>
      <c r="L35" s="436"/>
      <c r="M35" s="414"/>
      <c r="N35" s="414"/>
      <c r="O35" s="414"/>
      <c r="P35" s="414"/>
      <c r="Q35" s="414"/>
      <c r="R35" s="377"/>
      <c r="S35" s="415"/>
      <c r="T35" s="376"/>
      <c r="U35"/>
    </row>
    <row r="36" spans="2:21" ht="20.100000000000001" customHeight="1">
      <c r="F36" s="361"/>
      <c r="G36" s="382" t="s">
        <v>216</v>
      </c>
      <c r="H36" s="378" t="s">
        <v>176</v>
      </c>
      <c r="I36" s="427"/>
      <c r="J36" s="454"/>
      <c r="K36" s="428"/>
      <c r="L36" s="436"/>
      <c r="M36" s="414"/>
      <c r="N36" s="414"/>
      <c r="O36" s="414"/>
      <c r="P36" s="414"/>
      <c r="Q36" s="414"/>
      <c r="R36" s="377"/>
      <c r="S36" s="415"/>
      <c r="T36" s="376"/>
      <c r="U36"/>
    </row>
    <row r="37" spans="2:21" ht="20.100000000000001" customHeight="1">
      <c r="F37" s="361"/>
      <c r="G37" s="382" t="s">
        <v>217</v>
      </c>
      <c r="H37" s="378" t="s">
        <v>176</v>
      </c>
      <c r="I37" s="455">
        <f>100-SUM(I32:I35)</f>
        <v>100</v>
      </c>
      <c r="J37" s="456">
        <f>100-SUM(J32:J35)</f>
        <v>100</v>
      </c>
      <c r="K37" s="443">
        <f>100-SUM(K32:K35)</f>
        <v>87.57</v>
      </c>
      <c r="L37" s="436"/>
      <c r="M37" s="404"/>
      <c r="N37" s="404"/>
      <c r="O37" s="404"/>
      <c r="P37" s="404"/>
      <c r="Q37" s="404"/>
      <c r="R37" s="405"/>
      <c r="S37" s="406"/>
      <c r="T37" s="376" t="s">
        <v>171</v>
      </c>
      <c r="U37"/>
    </row>
    <row r="38" spans="2:21" ht="20.100000000000001" customHeight="1">
      <c r="F38" s="361"/>
      <c r="G38" s="862" t="s">
        <v>218</v>
      </c>
      <c r="H38" s="450" t="s">
        <v>176</v>
      </c>
      <c r="I38" s="455">
        <f>100-SUM(I18,I21,I24,I25,I31)</f>
        <v>100</v>
      </c>
      <c r="J38" s="456">
        <f>100-SUM(J18,J21,J24,J25,J31)</f>
        <v>100</v>
      </c>
      <c r="K38" s="443">
        <f>100-SUM(K18,K21,K24,K25,K31)</f>
        <v>2.2600000000000051</v>
      </c>
      <c r="L38" s="436"/>
      <c r="M38" s="404"/>
      <c r="N38" s="404"/>
      <c r="O38" s="404"/>
      <c r="P38" s="404"/>
      <c r="Q38" s="404"/>
      <c r="R38" s="405"/>
      <c r="S38" s="406"/>
      <c r="T38" s="376" t="s">
        <v>171</v>
      </c>
      <c r="U38"/>
    </row>
    <row r="39" spans="2:21" ht="20.100000000000001" customHeight="1" thickBot="1">
      <c r="F39" s="361"/>
      <c r="G39" s="458" t="s">
        <v>156</v>
      </c>
      <c r="H39" s="459" t="s">
        <v>176</v>
      </c>
      <c r="I39" s="460">
        <f>I18+I21+I24+I25+I31+I38</f>
        <v>100</v>
      </c>
      <c r="J39" s="461">
        <f>J18+J21+J24+J25+J31+J38</f>
        <v>100</v>
      </c>
      <c r="K39" s="461">
        <f>K18+K21+K24+K25+K31+K38</f>
        <v>100</v>
      </c>
      <c r="L39" s="436"/>
      <c r="M39" s="404"/>
      <c r="N39" s="404"/>
      <c r="O39" s="404"/>
      <c r="P39" s="404"/>
      <c r="Q39" s="404"/>
      <c r="R39" s="405"/>
      <c r="S39" s="406"/>
      <c r="T39" s="376" t="s">
        <v>171</v>
      </c>
      <c r="U39"/>
    </row>
    <row r="40" spans="2:21" ht="20.100000000000001" customHeight="1">
      <c r="G40" s="400" t="s">
        <v>171</v>
      </c>
      <c r="K40" s="463"/>
      <c r="L40" s="416"/>
      <c r="M40" s="416"/>
      <c r="N40" s="416"/>
      <c r="O40" s="416"/>
      <c r="P40" s="417"/>
      <c r="Q40" s="417"/>
      <c r="R40" s="417"/>
      <c r="S40" s="417"/>
      <c r="T40" s="376" t="s">
        <v>171</v>
      </c>
      <c r="U40"/>
    </row>
    <row r="41" spans="2:21" s="462" customFormat="1" ht="14.25" customHeight="1">
      <c r="B41"/>
      <c r="C41"/>
      <c r="D41"/>
      <c r="E41"/>
      <c r="F41" s="418"/>
      <c r="G41" s="419"/>
      <c r="H41" s="464"/>
      <c r="I41" s="465"/>
      <c r="J41" s="465"/>
      <c r="K41" s="466"/>
      <c r="L41" s="418"/>
      <c r="M41" s="418"/>
      <c r="N41" s="418"/>
      <c r="O41" s="418"/>
      <c r="P41" s="419"/>
      <c r="Q41" s="419"/>
      <c r="R41" s="419"/>
      <c r="S41" s="419"/>
      <c r="T41" s="376" t="s">
        <v>171</v>
      </c>
    </row>
    <row r="42" spans="2:21" s="462" customFormat="1" ht="14.25" customHeight="1">
      <c r="B42"/>
      <c r="C42"/>
      <c r="D42"/>
      <c r="E42"/>
      <c r="F42" s="418"/>
      <c r="G42" s="419"/>
      <c r="H42" s="464"/>
      <c r="I42" s="465"/>
      <c r="J42" s="465"/>
      <c r="K42" s="466"/>
      <c r="L42" s="418"/>
      <c r="M42" s="418"/>
      <c r="N42" s="418"/>
      <c r="O42" s="418"/>
      <c r="P42" s="419"/>
      <c r="Q42" s="419"/>
      <c r="R42" s="419"/>
      <c r="S42" s="419"/>
      <c r="T42" s="376" t="s">
        <v>171</v>
      </c>
    </row>
    <row r="43" spans="2:21" s="462" customFormat="1" ht="15" customHeight="1">
      <c r="B43"/>
      <c r="C43"/>
      <c r="D43"/>
      <c r="E43"/>
      <c r="F43" s="418"/>
      <c r="G43" s="419"/>
      <c r="H43" s="464"/>
      <c r="I43" s="465"/>
      <c r="J43" s="465"/>
      <c r="K43" s="466"/>
      <c r="L43" s="418"/>
      <c r="M43" s="418"/>
      <c r="N43" s="418"/>
      <c r="O43" s="418"/>
      <c r="P43" s="419"/>
      <c r="Q43" s="419"/>
      <c r="R43" s="419"/>
      <c r="S43" s="419"/>
      <c r="T43" s="376" t="s">
        <v>171</v>
      </c>
    </row>
    <row r="44" spans="2:21" s="462" customFormat="1" ht="15" customHeight="1">
      <c r="B44"/>
      <c r="C44"/>
      <c r="D44"/>
      <c r="E44"/>
      <c r="F44" s="418"/>
      <c r="G44" s="419"/>
      <c r="H44" s="464"/>
      <c r="I44" s="465"/>
      <c r="J44" s="465"/>
      <c r="K44" s="466"/>
      <c r="L44" s="418"/>
      <c r="M44" s="418"/>
      <c r="N44" s="418"/>
      <c r="O44" s="418"/>
      <c r="P44" s="419"/>
      <c r="Q44" s="419"/>
      <c r="R44" s="419"/>
      <c r="S44" s="419"/>
      <c r="T44" s="376" t="s">
        <v>171</v>
      </c>
    </row>
    <row r="45" spans="2:21" s="462" customFormat="1" ht="15" customHeight="1">
      <c r="B45"/>
      <c r="C45"/>
      <c r="D45"/>
      <c r="E45"/>
      <c r="F45" s="418"/>
      <c r="G45" s="419"/>
      <c r="H45" s="464"/>
      <c r="I45" s="465"/>
      <c r="J45" s="465"/>
      <c r="K45" s="466"/>
      <c r="L45" s="418"/>
      <c r="M45" s="418"/>
      <c r="N45" s="418"/>
      <c r="O45" s="418"/>
      <c r="P45" s="419"/>
      <c r="Q45" s="419"/>
      <c r="R45" s="419"/>
      <c r="S45" s="419"/>
      <c r="T45" s="376" t="s">
        <v>171</v>
      </c>
    </row>
    <row r="46" spans="2:21" s="462" customFormat="1" ht="15" customHeight="1">
      <c r="B46"/>
      <c r="C46"/>
      <c r="D46"/>
      <c r="E46"/>
      <c r="F46" s="418"/>
      <c r="G46" s="419"/>
      <c r="H46" s="464"/>
      <c r="I46" s="465"/>
      <c r="J46" s="465"/>
      <c r="K46" s="466"/>
      <c r="L46" s="418"/>
      <c r="M46" s="418"/>
      <c r="N46" s="418"/>
      <c r="O46" s="418"/>
      <c r="P46" s="419"/>
      <c r="Q46" s="419"/>
      <c r="R46" s="419"/>
      <c r="S46" s="419"/>
      <c r="T46" s="376" t="s">
        <v>171</v>
      </c>
    </row>
    <row r="47" spans="2:21" s="462" customFormat="1" ht="15" customHeight="1">
      <c r="B47"/>
      <c r="C47" s="354"/>
      <c r="D47" s="354"/>
      <c r="E47" s="354"/>
      <c r="F47" s="418"/>
      <c r="G47" s="419"/>
      <c r="H47" s="464"/>
      <c r="I47" s="465"/>
      <c r="J47" s="465"/>
      <c r="K47" s="466"/>
      <c r="L47" s="418"/>
      <c r="M47" s="418"/>
      <c r="N47" s="418"/>
      <c r="O47" s="418"/>
      <c r="P47" s="419"/>
      <c r="Q47" s="419"/>
      <c r="R47" s="419"/>
      <c r="S47" s="419"/>
      <c r="T47" s="376" t="s">
        <v>171</v>
      </c>
    </row>
    <row r="48" spans="2:21" s="462" customFormat="1" ht="14.45" customHeight="1">
      <c r="B48" s="354"/>
      <c r="C48"/>
      <c r="D48"/>
      <c r="E48"/>
      <c r="F48" s="418"/>
      <c r="G48" s="419"/>
      <c r="H48" s="464"/>
      <c r="I48" s="465"/>
      <c r="J48" s="465"/>
      <c r="K48" s="466"/>
      <c r="L48" s="418"/>
      <c r="M48" s="418"/>
      <c r="N48" s="418"/>
      <c r="O48" s="418"/>
      <c r="P48" s="419"/>
      <c r="Q48" s="419"/>
      <c r="R48" s="419"/>
      <c r="S48" s="419"/>
      <c r="T48" s="376" t="s">
        <v>171</v>
      </c>
    </row>
    <row r="49" spans="2:21" s="462" customFormat="1" ht="18" customHeight="1">
      <c r="B49"/>
      <c r="C49"/>
      <c r="D49"/>
      <c r="E49"/>
      <c r="F49" s="418"/>
      <c r="G49" s="419"/>
      <c r="H49" s="464"/>
      <c r="I49" s="465"/>
      <c r="J49" s="465"/>
      <c r="K49" s="466"/>
      <c r="L49" s="418"/>
      <c r="M49" s="418"/>
      <c r="N49" s="418"/>
      <c r="O49" s="418"/>
      <c r="P49" s="419"/>
      <c r="Q49" s="419"/>
      <c r="R49" s="419"/>
      <c r="S49" s="419"/>
      <c r="T49" s="376" t="s">
        <v>171</v>
      </c>
    </row>
    <row r="50" spans="2:21" s="462" customFormat="1" ht="18" customHeight="1">
      <c r="B50"/>
      <c r="C50"/>
      <c r="D50"/>
      <c r="E50"/>
      <c r="F50" s="418"/>
      <c r="G50" s="419"/>
      <c r="H50" s="464"/>
      <c r="I50" s="465"/>
      <c r="J50" s="465"/>
      <c r="K50" s="466"/>
      <c r="L50" s="418"/>
      <c r="M50" s="418"/>
      <c r="N50" s="418"/>
      <c r="O50" s="418"/>
      <c r="P50" s="419"/>
      <c r="Q50" s="419"/>
      <c r="R50" s="419"/>
      <c r="S50" s="419"/>
      <c r="T50" s="376" t="s">
        <v>171</v>
      </c>
    </row>
    <row r="51" spans="2:21" s="462" customFormat="1" ht="15.75" customHeight="1">
      <c r="B51"/>
      <c r="C51"/>
      <c r="D51"/>
      <c r="E51"/>
      <c r="F51" s="418"/>
      <c r="G51" s="419"/>
      <c r="H51" s="464"/>
      <c r="I51" s="465"/>
      <c r="J51" s="465"/>
      <c r="K51" s="466"/>
      <c r="L51" s="418"/>
      <c r="M51" s="418"/>
      <c r="N51" s="418"/>
      <c r="O51" s="418"/>
      <c r="P51" s="419"/>
      <c r="Q51" s="419"/>
      <c r="R51" s="419"/>
      <c r="S51" s="419"/>
      <c r="T51" s="376" t="s">
        <v>171</v>
      </c>
    </row>
    <row r="52" spans="2:21" s="462" customFormat="1" ht="15" customHeight="1">
      <c r="B52"/>
      <c r="C52"/>
      <c r="D52"/>
      <c r="E52"/>
      <c r="F52" s="418"/>
      <c r="G52" s="419"/>
      <c r="H52" s="464"/>
      <c r="I52" s="465"/>
      <c r="J52" s="465"/>
      <c r="K52" s="466"/>
      <c r="L52" s="418"/>
      <c r="M52" s="418"/>
      <c r="N52" s="418"/>
      <c r="O52" s="418"/>
      <c r="P52" s="419"/>
      <c r="Q52" s="419"/>
      <c r="R52" s="419"/>
      <c r="S52" s="419"/>
      <c r="T52" s="376" t="s">
        <v>171</v>
      </c>
    </row>
    <row r="53" spans="2:21" s="462" customFormat="1" ht="15" customHeight="1">
      <c r="B53"/>
      <c r="C53"/>
      <c r="D53"/>
      <c r="E53"/>
      <c r="F53" s="418"/>
      <c r="G53" s="419"/>
      <c r="H53" s="464"/>
      <c r="I53" s="465"/>
      <c r="J53" s="465"/>
      <c r="K53" s="466"/>
      <c r="L53" s="418"/>
      <c r="M53" s="418"/>
      <c r="N53" s="418"/>
      <c r="O53" s="418"/>
      <c r="P53" s="419"/>
      <c r="Q53" s="419"/>
      <c r="R53" s="419"/>
      <c r="S53" s="419"/>
      <c r="T53" s="376" t="s">
        <v>171</v>
      </c>
    </row>
    <row r="54" spans="2:21" s="462" customFormat="1" ht="15" customHeight="1">
      <c r="B54"/>
      <c r="C54"/>
      <c r="D54"/>
      <c r="E54"/>
      <c r="F54" s="418"/>
      <c r="G54" s="419"/>
      <c r="H54" s="464"/>
      <c r="I54" s="465"/>
      <c r="J54" s="465"/>
      <c r="K54" s="466"/>
      <c r="L54" s="418"/>
      <c r="M54" s="418"/>
      <c r="N54" s="418"/>
      <c r="O54" s="418"/>
      <c r="P54" s="419"/>
      <c r="Q54" s="419"/>
      <c r="R54" s="419"/>
      <c r="S54" s="419"/>
      <c r="T54" s="376" t="s">
        <v>171</v>
      </c>
    </row>
    <row r="55" spans="2:21" s="462" customFormat="1" ht="15" customHeight="1">
      <c r="B55"/>
      <c r="C55"/>
      <c r="D55"/>
      <c r="E55"/>
      <c r="F55" s="418"/>
      <c r="G55" s="419"/>
      <c r="H55" s="464"/>
      <c r="I55" s="465"/>
      <c r="J55" s="465"/>
      <c r="K55" s="466"/>
      <c r="L55" s="418"/>
      <c r="M55" s="418"/>
      <c r="N55" s="418"/>
      <c r="O55" s="418"/>
      <c r="P55" s="419"/>
      <c r="Q55" s="419"/>
      <c r="R55" s="419"/>
      <c r="S55" s="419"/>
      <c r="T55" s="376" t="s">
        <v>171</v>
      </c>
    </row>
    <row r="56" spans="2:21" s="462" customFormat="1" ht="15" customHeight="1">
      <c r="B56"/>
      <c r="C56"/>
      <c r="D56"/>
      <c r="E56"/>
      <c r="F56" s="418"/>
      <c r="G56" s="419"/>
      <c r="H56" s="464"/>
      <c r="I56" s="465"/>
      <c r="J56" s="465"/>
      <c r="K56" s="466"/>
      <c r="L56" s="418"/>
      <c r="M56" s="418"/>
      <c r="N56" s="418"/>
      <c r="O56" s="418"/>
      <c r="P56" s="419"/>
      <c r="Q56" s="419"/>
      <c r="R56" s="419"/>
      <c r="S56" s="419"/>
      <c r="T56" s="376" t="s">
        <v>171</v>
      </c>
    </row>
    <row r="57" spans="2:21" s="462" customFormat="1" ht="15" customHeight="1">
      <c r="B57"/>
      <c r="C57"/>
      <c r="D57"/>
      <c r="E57"/>
      <c r="F57" s="418"/>
      <c r="G57" s="419"/>
      <c r="H57" s="464"/>
      <c r="I57" s="465"/>
      <c r="J57" s="465"/>
      <c r="K57" s="466"/>
      <c r="L57" s="418"/>
      <c r="M57" s="418"/>
      <c r="N57" s="418"/>
      <c r="O57" s="418"/>
      <c r="P57" s="419"/>
      <c r="Q57" s="419"/>
      <c r="R57" s="419"/>
      <c r="S57" s="419"/>
      <c r="T57" s="376" t="s">
        <v>171</v>
      </c>
    </row>
    <row r="58" spans="2:21" s="462" customFormat="1" ht="36.6" customHeight="1">
      <c r="B58"/>
      <c r="C58"/>
      <c r="D58"/>
      <c r="E58"/>
      <c r="F58" s="418"/>
      <c r="G58" s="419"/>
      <c r="H58" s="464"/>
      <c r="I58" s="465"/>
      <c r="J58" s="465"/>
      <c r="K58" s="466"/>
      <c r="L58" s="418"/>
      <c r="M58" s="418"/>
      <c r="N58" s="418"/>
      <c r="O58" s="418"/>
      <c r="P58" s="419"/>
      <c r="Q58" s="419"/>
      <c r="R58" s="419"/>
      <c r="S58" s="419"/>
      <c r="T58" s="376" t="s">
        <v>171</v>
      </c>
    </row>
    <row r="59" spans="2:21" s="462" customFormat="1" ht="15" customHeight="1">
      <c r="B59"/>
      <c r="C59"/>
      <c r="D59"/>
      <c r="E59"/>
      <c r="F59" s="418"/>
      <c r="G59" s="419"/>
      <c r="H59" s="464"/>
      <c r="I59" s="465"/>
      <c r="J59" s="465"/>
      <c r="K59" s="466"/>
      <c r="L59" s="418"/>
      <c r="M59" s="418"/>
      <c r="N59" s="418"/>
      <c r="O59" s="418"/>
      <c r="P59" s="419"/>
      <c r="Q59" s="419"/>
      <c r="R59" s="419"/>
      <c r="S59" s="419"/>
      <c r="T59" s="376" t="s">
        <v>171</v>
      </c>
      <c r="U59" s="418"/>
    </row>
    <row r="60" spans="2:21" s="462" customFormat="1" ht="40.15" customHeight="1">
      <c r="B60"/>
      <c r="C60"/>
      <c r="D60"/>
      <c r="E60"/>
      <c r="F60" s="418"/>
      <c r="G60" s="419"/>
      <c r="H60" s="464"/>
      <c r="I60" s="465"/>
      <c r="J60" s="465"/>
      <c r="K60" s="466"/>
      <c r="L60" s="418"/>
      <c r="M60" s="418"/>
      <c r="N60" s="418"/>
      <c r="O60" s="418"/>
      <c r="P60" s="419"/>
      <c r="Q60" s="419"/>
      <c r="R60" s="419"/>
      <c r="S60" s="419"/>
      <c r="T60" s="376" t="s">
        <v>171</v>
      </c>
      <c r="U60" s="418"/>
    </row>
    <row r="61" spans="2:21" s="462" customFormat="1" ht="15" customHeight="1">
      <c r="B61"/>
      <c r="C61"/>
      <c r="D61"/>
      <c r="E61"/>
      <c r="F61" s="418"/>
      <c r="G61" s="419"/>
      <c r="H61" s="464"/>
      <c r="I61" s="465"/>
      <c r="J61" s="465"/>
      <c r="K61" s="466"/>
      <c r="L61" s="418"/>
      <c r="M61" s="418"/>
      <c r="N61" s="418"/>
      <c r="O61" s="418"/>
      <c r="P61" s="419"/>
      <c r="Q61" s="419"/>
      <c r="R61" s="419"/>
      <c r="S61" s="419"/>
      <c r="T61" s="376" t="s">
        <v>171</v>
      </c>
      <c r="U61" s="418"/>
    </row>
    <row r="62" spans="2:21" s="462" customFormat="1" ht="15" customHeight="1">
      <c r="B62"/>
      <c r="C62"/>
      <c r="D62"/>
      <c r="E62"/>
      <c r="F62" s="418"/>
      <c r="G62" s="419"/>
      <c r="H62" s="464"/>
      <c r="I62" s="465"/>
      <c r="J62" s="465"/>
      <c r="K62" s="466"/>
      <c r="L62" s="418"/>
      <c r="M62" s="418"/>
      <c r="N62" s="418"/>
      <c r="O62" s="418"/>
      <c r="P62" s="419"/>
      <c r="Q62" s="419"/>
      <c r="R62" s="419"/>
      <c r="S62" s="419"/>
      <c r="T62" s="376" t="s">
        <v>171</v>
      </c>
      <c r="U62" s="418"/>
    </row>
    <row r="63" spans="2:21" s="462" customFormat="1" ht="15" customHeight="1">
      <c r="B63"/>
      <c r="C63"/>
      <c r="D63"/>
      <c r="E63"/>
      <c r="F63" s="418"/>
      <c r="G63" s="419"/>
      <c r="H63" s="464"/>
      <c r="I63" s="465"/>
      <c r="J63" s="465"/>
      <c r="K63" s="466"/>
      <c r="L63" s="418"/>
      <c r="M63" s="418"/>
      <c r="N63" s="418"/>
      <c r="O63" s="418"/>
      <c r="P63" s="419"/>
      <c r="Q63" s="419"/>
      <c r="R63" s="419"/>
      <c r="S63" s="419"/>
      <c r="T63" s="418"/>
      <c r="U63" s="418"/>
    </row>
    <row r="64" spans="2:21" s="462" customFormat="1" ht="15" customHeight="1">
      <c r="B64"/>
      <c r="C64"/>
      <c r="D64"/>
      <c r="E64"/>
      <c r="F64" s="418"/>
      <c r="G64" s="419"/>
      <c r="H64" s="464"/>
      <c r="I64" s="465"/>
      <c r="J64" s="465"/>
      <c r="K64" s="466"/>
      <c r="L64" s="418"/>
      <c r="M64" s="418"/>
      <c r="N64" s="418"/>
      <c r="O64" s="418"/>
      <c r="P64" s="419"/>
      <c r="Q64" s="419"/>
      <c r="R64" s="419"/>
      <c r="S64" s="419"/>
      <c r="T64" s="418"/>
      <c r="U64" s="418"/>
    </row>
    <row r="65" spans="2:21" s="462" customFormat="1" ht="15" customHeight="1">
      <c r="B65"/>
      <c r="C65"/>
      <c r="D65"/>
      <c r="E65"/>
      <c r="F65" s="418"/>
      <c r="G65" s="419"/>
      <c r="H65" s="464"/>
      <c r="I65" s="465"/>
      <c r="J65" s="465"/>
      <c r="K65" s="466"/>
      <c r="L65" s="418"/>
      <c r="M65" s="418"/>
      <c r="N65" s="418"/>
      <c r="O65" s="418"/>
      <c r="P65" s="419"/>
      <c r="Q65" s="419"/>
      <c r="R65" s="419"/>
      <c r="S65" s="419"/>
      <c r="T65" s="418"/>
      <c r="U65" s="418"/>
    </row>
    <row r="66" spans="2:21" s="462" customFormat="1" ht="15" customHeight="1">
      <c r="B66"/>
      <c r="C66"/>
      <c r="D66"/>
      <c r="E66"/>
      <c r="F66" s="418"/>
      <c r="G66" s="419"/>
      <c r="H66" s="464"/>
      <c r="I66" s="465"/>
      <c r="J66" s="465"/>
      <c r="K66" s="466"/>
      <c r="L66" s="418"/>
      <c r="M66" s="418"/>
      <c r="N66" s="418"/>
      <c r="O66" s="418"/>
      <c r="P66" s="419"/>
      <c r="Q66" s="419"/>
      <c r="R66" s="419"/>
      <c r="S66" s="419"/>
      <c r="T66" s="418"/>
      <c r="U66" s="418"/>
    </row>
    <row r="67" spans="2:21" s="462" customFormat="1" ht="105" customHeight="1">
      <c r="B67"/>
      <c r="C67"/>
      <c r="D67"/>
      <c r="E67"/>
      <c r="F67" s="418"/>
      <c r="G67" s="419"/>
      <c r="H67" s="464"/>
      <c r="I67" s="465"/>
      <c r="J67" s="465"/>
      <c r="K67" s="466"/>
      <c r="L67" s="418"/>
      <c r="M67" s="418"/>
      <c r="N67" s="418"/>
      <c r="O67" s="418"/>
      <c r="P67" s="419"/>
      <c r="Q67" s="419"/>
      <c r="R67" s="419"/>
      <c r="S67" s="419"/>
      <c r="T67" s="418"/>
      <c r="U67" s="418"/>
    </row>
    <row r="68" spans="2:21" s="462" customFormat="1" ht="15" customHeight="1">
      <c r="B68"/>
      <c r="C68"/>
      <c r="D68"/>
      <c r="E68"/>
      <c r="F68" s="418"/>
      <c r="G68" s="419"/>
      <c r="H68" s="464"/>
      <c r="I68" s="465"/>
      <c r="J68" s="465"/>
      <c r="K68" s="466"/>
      <c r="L68" s="418"/>
      <c r="M68" s="418"/>
      <c r="N68" s="418"/>
      <c r="O68" s="418"/>
      <c r="P68" s="419"/>
      <c r="Q68" s="419"/>
      <c r="R68" s="419"/>
      <c r="S68" s="419"/>
      <c r="T68" s="418"/>
      <c r="U68" s="418"/>
    </row>
    <row r="69" spans="2:21" ht="15" customHeight="1">
      <c r="F69" s="418"/>
      <c r="G69" s="419"/>
      <c r="H69" s="464"/>
      <c r="I69" s="465"/>
      <c r="J69" s="465"/>
      <c r="K69" s="466"/>
      <c r="L69" s="418"/>
      <c r="M69" s="418"/>
      <c r="N69" s="418"/>
      <c r="O69" s="418"/>
      <c r="P69" s="419"/>
      <c r="Q69" s="419"/>
      <c r="R69" s="419"/>
      <c r="S69" s="419"/>
      <c r="T69" s="418"/>
      <c r="U69" s="418"/>
    </row>
    <row r="70" spans="2:21" ht="15" customHeight="1">
      <c r="F70" s="418"/>
      <c r="G70" s="419"/>
      <c r="H70" s="464"/>
      <c r="I70" s="465"/>
      <c r="J70" s="465"/>
      <c r="K70" s="466"/>
      <c r="L70" s="418"/>
      <c r="M70" s="418"/>
      <c r="N70" s="418"/>
      <c r="O70" s="418"/>
      <c r="P70" s="419"/>
      <c r="Q70" s="419"/>
      <c r="R70" s="419"/>
      <c r="S70" s="419"/>
      <c r="T70" s="418"/>
      <c r="U70" s="418"/>
    </row>
    <row r="71" spans="2:21" ht="14.25" customHeight="1">
      <c r="F71" s="418"/>
      <c r="G71" s="419"/>
      <c r="H71" s="464"/>
      <c r="I71" s="465"/>
      <c r="J71" s="465"/>
      <c r="K71" s="466"/>
      <c r="L71" s="418"/>
      <c r="M71" s="418"/>
      <c r="N71" s="418"/>
      <c r="O71" s="418"/>
      <c r="P71" s="419"/>
      <c r="Q71" s="419"/>
      <c r="R71" s="419"/>
      <c r="S71" s="419"/>
      <c r="T71" s="418"/>
      <c r="U71" s="418"/>
    </row>
    <row r="72" spans="2:21" ht="15" customHeight="1">
      <c r="F72" s="418"/>
      <c r="G72" s="419"/>
      <c r="H72" s="464"/>
      <c r="I72" s="465"/>
      <c r="J72" s="465"/>
      <c r="K72" s="466"/>
      <c r="L72" s="418"/>
      <c r="M72" s="418"/>
      <c r="N72" s="418"/>
      <c r="O72" s="418"/>
      <c r="P72" s="419"/>
      <c r="Q72" s="419"/>
      <c r="R72" s="419"/>
      <c r="S72" s="419"/>
      <c r="T72" s="418"/>
      <c r="U72" s="418"/>
    </row>
    <row r="73" spans="2:21" ht="14.25" customHeight="1">
      <c r="F73" s="418"/>
      <c r="G73" s="419"/>
      <c r="H73" s="464"/>
      <c r="I73" s="465"/>
      <c r="J73" s="465"/>
      <c r="K73" s="466"/>
      <c r="L73" s="418"/>
      <c r="M73" s="418"/>
      <c r="N73" s="418"/>
      <c r="O73" s="418"/>
      <c r="P73" s="419"/>
      <c r="Q73" s="419"/>
      <c r="R73" s="419"/>
      <c r="S73" s="419"/>
      <c r="T73" s="418"/>
      <c r="U73" s="418"/>
    </row>
    <row r="74" spans="2:21" ht="14.25" customHeight="1">
      <c r="F74" s="418"/>
      <c r="G74" s="419"/>
      <c r="H74" s="464"/>
      <c r="I74" s="465"/>
      <c r="J74" s="465"/>
      <c r="K74" s="466"/>
      <c r="L74" s="418"/>
      <c r="M74" s="418"/>
      <c r="N74" s="418"/>
      <c r="O74" s="418"/>
      <c r="P74" s="419"/>
      <c r="Q74" s="419"/>
      <c r="R74" s="419"/>
      <c r="S74" s="419"/>
      <c r="T74" s="418"/>
      <c r="U74" s="418"/>
    </row>
    <row r="75" spans="2:21" ht="14.25" customHeight="1">
      <c r="F75" s="418"/>
      <c r="G75" s="419"/>
      <c r="H75" s="464"/>
      <c r="I75" s="465"/>
      <c r="J75" s="465"/>
      <c r="K75" s="466"/>
      <c r="L75" s="418"/>
      <c r="M75" s="418"/>
      <c r="N75" s="418"/>
      <c r="O75" s="418"/>
      <c r="P75" s="419"/>
      <c r="Q75" s="419"/>
      <c r="R75" s="419"/>
      <c r="S75" s="419"/>
      <c r="T75" s="418"/>
      <c r="U75" s="418"/>
    </row>
    <row r="76" spans="2:21" ht="22.5" customHeight="1">
      <c r="F76" s="418"/>
      <c r="G76" s="419"/>
      <c r="H76" s="464"/>
      <c r="I76" s="465"/>
      <c r="J76" s="465"/>
      <c r="K76" s="466"/>
      <c r="L76" s="418"/>
      <c r="M76" s="418"/>
      <c r="N76" s="418"/>
      <c r="O76" s="418"/>
      <c r="P76" s="419"/>
      <c r="Q76" s="419"/>
      <c r="R76" s="419"/>
      <c r="S76" s="419"/>
      <c r="T76" s="418"/>
      <c r="U76" s="418"/>
    </row>
    <row r="77" spans="2:21" ht="14.25" customHeight="1">
      <c r="F77" s="418"/>
      <c r="G77" s="419"/>
      <c r="H77" s="464"/>
      <c r="I77" s="465"/>
      <c r="J77" s="465"/>
      <c r="K77" s="466"/>
      <c r="L77" s="418"/>
      <c r="M77" s="418"/>
      <c r="N77" s="418"/>
      <c r="O77" s="418"/>
      <c r="P77" s="419"/>
      <c r="Q77" s="419"/>
      <c r="R77" s="419"/>
      <c r="S77" s="419"/>
      <c r="T77" s="418"/>
      <c r="U77" s="418"/>
    </row>
    <row r="78" spans="2:21" ht="14.25" customHeight="1">
      <c r="F78" s="418"/>
      <c r="G78" s="419"/>
      <c r="H78" s="464"/>
      <c r="I78" s="465"/>
      <c r="J78" s="465"/>
      <c r="K78" s="466"/>
      <c r="L78" s="418"/>
      <c r="M78" s="418"/>
      <c r="N78" s="418"/>
      <c r="O78" s="418"/>
      <c r="P78" s="419"/>
      <c r="Q78" s="419"/>
      <c r="R78" s="419"/>
      <c r="S78" s="419"/>
      <c r="T78" s="418"/>
      <c r="U78" s="418"/>
    </row>
    <row r="79" spans="2:21" ht="14.25" customHeight="1">
      <c r="F79" s="418"/>
      <c r="G79" s="419"/>
      <c r="H79" s="464"/>
      <c r="I79" s="465"/>
      <c r="J79" s="465"/>
      <c r="K79" s="466"/>
      <c r="L79" s="418"/>
      <c r="M79" s="418"/>
      <c r="N79" s="418"/>
      <c r="O79" s="418"/>
      <c r="P79" s="419"/>
      <c r="Q79" s="419"/>
      <c r="R79" s="419"/>
      <c r="S79" s="419"/>
      <c r="T79" s="418"/>
      <c r="U79" s="418"/>
    </row>
    <row r="80" spans="2:21" ht="14.25" customHeight="1">
      <c r="F80" s="418"/>
      <c r="G80" s="419"/>
      <c r="H80" s="464"/>
      <c r="I80" s="465"/>
      <c r="J80" s="465"/>
      <c r="K80" s="466"/>
      <c r="L80" s="418"/>
      <c r="M80" s="418"/>
      <c r="N80" s="418"/>
      <c r="O80" s="418"/>
      <c r="P80" s="419"/>
      <c r="Q80" s="419"/>
      <c r="R80" s="419"/>
      <c r="S80" s="419"/>
      <c r="T80" s="418"/>
      <c r="U80" s="418"/>
    </row>
    <row r="81" spans="6:21" ht="14.25" customHeight="1">
      <c r="F81" s="418"/>
      <c r="G81" s="419"/>
      <c r="H81" s="464"/>
      <c r="I81" s="465"/>
      <c r="J81" s="465"/>
      <c r="K81" s="466"/>
      <c r="L81" s="418"/>
      <c r="M81" s="418"/>
      <c r="N81" s="418"/>
      <c r="O81" s="418"/>
      <c r="P81" s="419"/>
      <c r="Q81" s="419"/>
      <c r="R81" s="419"/>
      <c r="S81" s="419"/>
      <c r="T81" s="418"/>
      <c r="U81" s="418"/>
    </row>
    <row r="82" spans="6:21" ht="14.25" customHeight="1">
      <c r="F82" s="418"/>
      <c r="G82" s="419"/>
      <c r="H82" s="464"/>
      <c r="I82" s="465"/>
      <c r="J82" s="465"/>
      <c r="K82" s="466"/>
      <c r="L82" s="418"/>
      <c r="M82" s="418"/>
      <c r="N82" s="418"/>
      <c r="O82" s="418"/>
      <c r="P82" s="419"/>
      <c r="Q82" s="419"/>
      <c r="R82" s="419"/>
      <c r="S82" s="419"/>
      <c r="T82" s="418"/>
      <c r="U82" s="418"/>
    </row>
    <row r="83" spans="6:21" ht="14.25" customHeight="1">
      <c r="F83" s="418"/>
      <c r="G83" s="419"/>
      <c r="H83" s="464"/>
      <c r="I83" s="465"/>
      <c r="J83" s="465"/>
      <c r="K83" s="466"/>
      <c r="L83" s="418"/>
      <c r="M83" s="418"/>
      <c r="N83" s="418"/>
      <c r="O83" s="418"/>
      <c r="P83" s="419"/>
      <c r="Q83" s="419"/>
      <c r="R83" s="419"/>
      <c r="S83" s="419"/>
      <c r="T83" s="418"/>
      <c r="U83" s="418"/>
    </row>
    <row r="84" spans="6:21" ht="14.25" customHeight="1">
      <c r="F84" s="418"/>
      <c r="G84" s="419"/>
      <c r="H84" s="464"/>
      <c r="I84" s="465"/>
      <c r="J84" s="465"/>
      <c r="K84" s="466"/>
      <c r="L84" s="418"/>
      <c r="M84" s="418"/>
      <c r="N84" s="418"/>
      <c r="O84" s="418"/>
      <c r="P84" s="419"/>
      <c r="Q84" s="419"/>
      <c r="R84" s="419"/>
      <c r="S84" s="419"/>
      <c r="T84" s="418"/>
      <c r="U84" s="418"/>
    </row>
    <row r="85" spans="6:21" ht="14.25" customHeight="1">
      <c r="F85" s="418"/>
      <c r="G85" s="419"/>
      <c r="H85" s="464"/>
      <c r="I85" s="465"/>
      <c r="J85" s="465"/>
      <c r="K85" s="466"/>
      <c r="L85" s="418"/>
      <c r="M85" s="418"/>
      <c r="N85" s="418"/>
      <c r="O85" s="418"/>
      <c r="P85" s="419"/>
      <c r="Q85" s="419"/>
      <c r="R85" s="419"/>
      <c r="S85" s="419"/>
      <c r="T85" s="418"/>
      <c r="U85" s="418"/>
    </row>
    <row r="86" spans="6:21" ht="14.25" customHeight="1">
      <c r="F86" s="418"/>
      <c r="G86" s="419"/>
      <c r="H86" s="464"/>
      <c r="I86" s="465"/>
      <c r="J86" s="465"/>
      <c r="K86" s="466"/>
      <c r="L86" s="418"/>
      <c r="M86" s="418"/>
      <c r="N86" s="418"/>
      <c r="O86" s="418"/>
      <c r="P86" s="419"/>
      <c r="Q86" s="419"/>
      <c r="R86" s="419"/>
      <c r="S86" s="419"/>
      <c r="T86" s="418"/>
      <c r="U86" s="418"/>
    </row>
    <row r="87" spans="6:21" ht="14.25" customHeight="1">
      <c r="F87" s="418"/>
      <c r="G87" s="419"/>
      <c r="H87" s="464"/>
      <c r="I87" s="465"/>
      <c r="J87" s="465"/>
      <c r="K87" s="466"/>
      <c r="L87" s="418"/>
      <c r="M87" s="418"/>
      <c r="N87" s="418"/>
      <c r="O87" s="418"/>
      <c r="P87" s="419"/>
      <c r="Q87" s="419"/>
      <c r="R87" s="419"/>
      <c r="S87" s="419"/>
      <c r="T87" s="418"/>
      <c r="U87" s="418"/>
    </row>
    <row r="88" spans="6:21" ht="14.25" customHeight="1">
      <c r="F88" s="418"/>
      <c r="G88" s="419"/>
      <c r="H88" s="464"/>
      <c r="I88" s="465"/>
      <c r="J88" s="465"/>
      <c r="K88" s="466"/>
      <c r="L88" s="418"/>
      <c r="M88" s="418"/>
      <c r="N88" s="418"/>
      <c r="O88" s="418"/>
      <c r="P88" s="419"/>
      <c r="Q88" s="419"/>
      <c r="R88" s="419"/>
      <c r="S88" s="419"/>
      <c r="T88" s="418"/>
      <c r="U88" s="418"/>
    </row>
    <row r="89" spans="6:21" ht="14.25" customHeight="1">
      <c r="F89" s="418"/>
      <c r="G89" s="419"/>
      <c r="H89" s="464"/>
      <c r="I89" s="465"/>
      <c r="J89" s="465"/>
      <c r="K89" s="466"/>
      <c r="L89" s="418"/>
      <c r="M89" s="418"/>
      <c r="N89" s="418"/>
      <c r="O89" s="418"/>
      <c r="P89" s="419"/>
      <c r="Q89" s="419"/>
      <c r="R89" s="419"/>
      <c r="S89" s="419"/>
      <c r="T89" s="418"/>
      <c r="U89" s="418"/>
    </row>
    <row r="90" spans="6:21" ht="14.25" customHeight="1">
      <c r="F90" s="418"/>
      <c r="G90" s="419"/>
      <c r="H90" s="464"/>
      <c r="I90" s="465"/>
      <c r="J90" s="465"/>
      <c r="K90" s="466"/>
      <c r="L90" s="418"/>
      <c r="M90" s="418"/>
      <c r="N90" s="418"/>
      <c r="O90" s="418"/>
      <c r="P90" s="419"/>
      <c r="Q90" s="419"/>
      <c r="R90" s="419"/>
      <c r="S90" s="419"/>
      <c r="T90" s="418"/>
      <c r="U90" s="418"/>
    </row>
    <row r="91" spans="6:21" ht="14.25" customHeight="1">
      <c r="F91" s="418"/>
      <c r="G91" s="419"/>
      <c r="H91" s="464"/>
      <c r="I91" s="465"/>
      <c r="J91" s="465"/>
      <c r="K91" s="466"/>
      <c r="L91" s="418"/>
      <c r="M91" s="418"/>
      <c r="N91" s="418"/>
      <c r="O91" s="418"/>
      <c r="P91" s="419"/>
      <c r="Q91" s="419"/>
      <c r="R91" s="419"/>
      <c r="S91" s="419"/>
      <c r="T91" s="418"/>
      <c r="U91" s="418"/>
    </row>
    <row r="92" spans="6:21" ht="14.25" customHeight="1">
      <c r="F92" s="418"/>
      <c r="G92" s="419"/>
      <c r="H92" s="464"/>
      <c r="I92" s="465"/>
      <c r="J92" s="465"/>
      <c r="K92" s="466"/>
      <c r="L92" s="418"/>
      <c r="M92" s="418"/>
      <c r="N92" s="418"/>
      <c r="O92" s="418"/>
      <c r="P92" s="419"/>
      <c r="Q92" s="419"/>
      <c r="R92" s="419"/>
      <c r="S92" s="419"/>
      <c r="T92" s="418"/>
      <c r="U92" s="418"/>
    </row>
    <row r="93" spans="6:21" ht="14.25" customHeight="1">
      <c r="F93" s="418"/>
      <c r="G93" s="419"/>
      <c r="H93" s="464"/>
      <c r="I93" s="465"/>
      <c r="J93" s="465"/>
      <c r="K93" s="466"/>
      <c r="L93" s="418"/>
      <c r="M93" s="418"/>
      <c r="N93" s="418"/>
      <c r="O93" s="418"/>
      <c r="P93" s="419"/>
      <c r="Q93" s="419"/>
      <c r="R93" s="419"/>
      <c r="S93" s="419"/>
      <c r="T93" s="418"/>
      <c r="U93" s="418"/>
    </row>
    <row r="94" spans="6:21" ht="14.25" customHeight="1">
      <c r="F94" s="418"/>
      <c r="G94" s="419"/>
      <c r="H94" s="464"/>
      <c r="I94" s="465"/>
      <c r="J94" s="465"/>
      <c r="K94" s="466"/>
      <c r="L94" s="418"/>
      <c r="M94" s="418"/>
      <c r="N94" s="418"/>
      <c r="O94" s="418"/>
      <c r="P94" s="419"/>
      <c r="Q94" s="419"/>
      <c r="R94" s="419"/>
      <c r="S94" s="419"/>
      <c r="T94" s="418"/>
      <c r="U94" s="418"/>
    </row>
    <row r="95" spans="6:21" ht="14.25" customHeight="1">
      <c r="F95" s="418"/>
      <c r="G95" s="419"/>
      <c r="H95" s="464"/>
      <c r="I95" s="465"/>
      <c r="J95" s="465"/>
      <c r="K95" s="466"/>
      <c r="L95" s="418"/>
      <c r="M95" s="418"/>
      <c r="N95" s="418"/>
      <c r="O95" s="418"/>
      <c r="P95" s="419"/>
      <c r="Q95" s="419"/>
      <c r="R95" s="419"/>
      <c r="S95" s="419"/>
      <c r="T95" s="418"/>
      <c r="U95" s="418"/>
    </row>
    <row r="96" spans="6:21" ht="14.25" customHeight="1">
      <c r="F96" s="418"/>
      <c r="G96" s="419"/>
      <c r="H96" s="464"/>
      <c r="I96" s="465"/>
      <c r="J96" s="465"/>
      <c r="K96" s="466"/>
      <c r="L96" s="418"/>
      <c r="M96" s="418"/>
      <c r="N96" s="418"/>
      <c r="O96" s="418"/>
      <c r="P96" s="419"/>
      <c r="Q96" s="419"/>
      <c r="R96" s="419"/>
      <c r="S96" s="419"/>
      <c r="T96" s="418"/>
      <c r="U96" s="418"/>
    </row>
    <row r="97" spans="6:21" ht="14.25" customHeight="1">
      <c r="F97" s="418"/>
      <c r="G97" s="419"/>
      <c r="H97" s="464"/>
      <c r="I97" s="465"/>
      <c r="J97" s="465"/>
      <c r="K97" s="466"/>
      <c r="L97" s="418"/>
      <c r="M97" s="418"/>
      <c r="N97" s="418"/>
      <c r="O97" s="418"/>
      <c r="P97" s="419"/>
      <c r="Q97" s="419"/>
      <c r="R97" s="419"/>
      <c r="S97" s="419"/>
      <c r="T97" s="418"/>
      <c r="U97" s="418"/>
    </row>
    <row r="98" spans="6:21" ht="14.25" customHeight="1">
      <c r="F98" s="418"/>
      <c r="G98" s="419"/>
      <c r="H98" s="464"/>
      <c r="I98" s="465"/>
      <c r="J98" s="465"/>
      <c r="K98" s="466"/>
      <c r="L98" s="418"/>
      <c r="M98" s="418"/>
      <c r="N98" s="418"/>
      <c r="O98" s="418"/>
      <c r="P98" s="419"/>
      <c r="Q98" s="419"/>
      <c r="R98" s="419"/>
      <c r="S98" s="419"/>
      <c r="T98" s="418"/>
      <c r="U98" s="418"/>
    </row>
    <row r="99" spans="6:21" ht="14.25" customHeight="1">
      <c r="F99" s="418"/>
      <c r="G99" s="419"/>
      <c r="H99" s="464"/>
      <c r="I99" s="465"/>
      <c r="J99" s="465"/>
      <c r="K99" s="466"/>
      <c r="L99" s="418"/>
      <c r="M99" s="418"/>
      <c r="N99" s="418"/>
      <c r="O99" s="418"/>
      <c r="P99" s="419"/>
      <c r="Q99" s="419"/>
      <c r="R99" s="419"/>
      <c r="S99" s="419"/>
      <c r="T99" s="418"/>
      <c r="U99" s="418"/>
    </row>
    <row r="100" spans="6:21" ht="14.25" customHeight="1">
      <c r="F100" s="418"/>
      <c r="G100" s="419"/>
      <c r="H100" s="464"/>
      <c r="I100" s="465"/>
      <c r="J100" s="465"/>
      <c r="K100" s="466"/>
      <c r="L100" s="418"/>
      <c r="M100" s="418"/>
      <c r="N100" s="418"/>
      <c r="O100" s="418"/>
      <c r="P100" s="419"/>
      <c r="Q100" s="419"/>
      <c r="R100" s="419"/>
      <c r="S100" s="419"/>
      <c r="T100" s="418"/>
      <c r="U100" s="418"/>
    </row>
    <row r="101" spans="6:21" ht="14.25" customHeight="1">
      <c r="F101" s="418"/>
      <c r="G101" s="419"/>
      <c r="H101" s="464"/>
      <c r="I101" s="465"/>
      <c r="J101" s="465"/>
      <c r="K101" s="466"/>
      <c r="L101" s="418"/>
      <c r="M101" s="418"/>
      <c r="N101" s="418"/>
      <c r="O101" s="418"/>
      <c r="P101" s="419"/>
      <c r="Q101" s="419"/>
      <c r="R101" s="419"/>
      <c r="S101" s="419"/>
      <c r="T101" s="418"/>
      <c r="U101" s="418"/>
    </row>
    <row r="102" spans="6:21" ht="14.25" customHeight="1">
      <c r="F102" s="418"/>
      <c r="G102" s="419"/>
      <c r="H102" s="464"/>
      <c r="I102" s="465"/>
      <c r="J102" s="465"/>
      <c r="K102" s="466"/>
      <c r="L102" s="418"/>
      <c r="M102" s="418"/>
      <c r="N102" s="418"/>
      <c r="O102" s="418"/>
      <c r="P102" s="419"/>
      <c r="Q102" s="419"/>
      <c r="R102" s="419"/>
      <c r="S102" s="419"/>
      <c r="T102" s="418"/>
      <c r="U102" s="418"/>
    </row>
    <row r="103" spans="6:21" ht="14.25" customHeight="1">
      <c r="F103" s="418"/>
      <c r="G103" s="419"/>
      <c r="H103" s="464"/>
      <c r="I103" s="465"/>
      <c r="J103" s="465"/>
      <c r="K103" s="466"/>
      <c r="L103" s="418"/>
      <c r="M103" s="418"/>
      <c r="N103" s="418"/>
      <c r="O103" s="418"/>
      <c r="P103" s="419"/>
      <c r="Q103" s="419"/>
      <c r="R103" s="419"/>
      <c r="S103" s="419"/>
      <c r="T103" s="418"/>
      <c r="U103" s="418"/>
    </row>
    <row r="104" spans="6:21" ht="14.25" customHeight="1">
      <c r="F104" s="418"/>
      <c r="G104" s="419"/>
      <c r="H104" s="464"/>
      <c r="I104" s="465"/>
      <c r="J104" s="465"/>
      <c r="K104" s="466"/>
      <c r="L104" s="418"/>
      <c r="M104" s="418"/>
      <c r="N104" s="418"/>
      <c r="O104" s="418"/>
      <c r="P104" s="419"/>
      <c r="Q104" s="419"/>
      <c r="R104" s="419"/>
      <c r="S104" s="419"/>
      <c r="T104" s="418"/>
      <c r="U104" s="418"/>
    </row>
    <row r="105" spans="6:21" ht="14.25" customHeight="1">
      <c r="F105" s="418"/>
      <c r="G105" s="419"/>
      <c r="H105" s="464"/>
      <c r="I105" s="465"/>
      <c r="J105" s="465"/>
      <c r="K105" s="466"/>
      <c r="L105" s="418"/>
      <c r="M105" s="418"/>
      <c r="N105" s="418"/>
      <c r="O105" s="418"/>
      <c r="P105" s="419"/>
      <c r="Q105" s="419"/>
      <c r="R105" s="419"/>
      <c r="S105" s="419"/>
      <c r="T105" s="418"/>
      <c r="U105" s="418"/>
    </row>
    <row r="106" spans="6:21" ht="14.25" customHeight="1">
      <c r="F106" s="418"/>
      <c r="G106" s="419"/>
      <c r="H106" s="464"/>
      <c r="I106" s="465"/>
      <c r="J106" s="465"/>
      <c r="K106" s="466"/>
      <c r="L106" s="418"/>
      <c r="M106" s="418"/>
      <c r="N106" s="418"/>
      <c r="O106" s="418"/>
      <c r="P106" s="419"/>
      <c r="Q106" s="419"/>
      <c r="R106" s="419"/>
      <c r="S106" s="419"/>
      <c r="T106" s="418"/>
      <c r="U106" s="418"/>
    </row>
    <row r="107" spans="6:21" ht="14.25" customHeight="1">
      <c r="F107" s="418"/>
      <c r="G107" s="419"/>
      <c r="H107" s="464"/>
      <c r="I107" s="465"/>
      <c r="J107" s="465"/>
      <c r="K107" s="466"/>
      <c r="L107" s="418"/>
      <c r="M107" s="418"/>
      <c r="N107" s="418"/>
      <c r="O107" s="418"/>
      <c r="P107" s="419"/>
      <c r="Q107" s="419"/>
      <c r="R107" s="419"/>
      <c r="S107" s="419"/>
      <c r="T107" s="418"/>
      <c r="U107" s="418"/>
    </row>
    <row r="108" spans="6:21" ht="14.25" customHeight="1">
      <c r="F108" s="418"/>
      <c r="G108" s="419"/>
      <c r="H108" s="464"/>
      <c r="I108" s="465"/>
      <c r="J108" s="465"/>
      <c r="K108" s="466"/>
      <c r="L108" s="418"/>
      <c r="M108" s="418"/>
      <c r="N108" s="418"/>
      <c r="O108" s="418"/>
      <c r="P108" s="419"/>
      <c r="Q108" s="419"/>
      <c r="R108" s="419"/>
      <c r="S108" s="419"/>
      <c r="T108" s="418"/>
      <c r="U108" s="418"/>
    </row>
    <row r="109" spans="6:21" ht="14.25" customHeight="1">
      <c r="F109" s="418"/>
      <c r="G109" s="419"/>
      <c r="H109" s="464"/>
      <c r="I109" s="465"/>
      <c r="J109" s="465"/>
      <c r="K109" s="466"/>
      <c r="L109" s="418"/>
      <c r="M109" s="418"/>
      <c r="N109" s="418"/>
      <c r="O109" s="418"/>
      <c r="P109" s="419"/>
      <c r="Q109" s="419"/>
      <c r="R109" s="419"/>
      <c r="S109" s="419"/>
      <c r="T109" s="418"/>
      <c r="U109" s="418"/>
    </row>
    <row r="110" spans="6:21" ht="14.25" customHeight="1">
      <c r="F110" s="418"/>
      <c r="G110" s="419"/>
      <c r="H110" s="464"/>
      <c r="I110" s="465"/>
      <c r="J110" s="465"/>
      <c r="K110" s="466"/>
      <c r="L110" s="418"/>
      <c r="M110" s="418"/>
      <c r="N110" s="418"/>
      <c r="O110" s="418"/>
      <c r="P110" s="419"/>
      <c r="Q110" s="419"/>
      <c r="R110" s="419"/>
      <c r="S110" s="419"/>
      <c r="T110" s="418"/>
      <c r="U110" s="418"/>
    </row>
    <row r="111" spans="6:21" ht="14.25" customHeight="1">
      <c r="F111" s="418"/>
      <c r="G111" s="419"/>
      <c r="H111" s="464"/>
      <c r="I111" s="465"/>
      <c r="J111" s="465"/>
      <c r="K111" s="466"/>
      <c r="L111" s="418"/>
      <c r="M111" s="418"/>
      <c r="N111" s="418"/>
      <c r="O111" s="418"/>
      <c r="P111" s="419"/>
      <c r="Q111" s="419"/>
      <c r="R111" s="419"/>
      <c r="S111" s="419"/>
      <c r="T111" s="418"/>
      <c r="U111" s="418"/>
    </row>
    <row r="112" spans="6:21" ht="14.25" customHeight="1">
      <c r="F112" s="418"/>
      <c r="G112" s="419"/>
      <c r="H112" s="464"/>
      <c r="I112" s="465"/>
      <c r="J112" s="465"/>
      <c r="K112" s="466"/>
      <c r="L112" s="418"/>
      <c r="M112" s="418"/>
      <c r="N112" s="418"/>
      <c r="O112" s="418"/>
      <c r="P112" s="419"/>
      <c r="Q112" s="419"/>
      <c r="R112" s="419"/>
      <c r="S112" s="419"/>
      <c r="T112" s="418"/>
      <c r="U112" s="418"/>
    </row>
    <row r="113" spans="6:21" ht="14.25" customHeight="1">
      <c r="F113" s="418"/>
      <c r="G113" s="419"/>
      <c r="H113" s="464"/>
      <c r="I113" s="465"/>
      <c r="J113" s="465"/>
      <c r="K113" s="466"/>
      <c r="L113" s="418"/>
      <c r="M113" s="418"/>
      <c r="N113" s="418"/>
      <c r="O113" s="418"/>
      <c r="P113" s="419"/>
      <c r="Q113" s="419"/>
      <c r="R113" s="419"/>
      <c r="S113" s="419"/>
      <c r="T113" s="418"/>
      <c r="U113" s="418"/>
    </row>
    <row r="114" spans="6:21" ht="14.25" customHeight="1">
      <c r="F114" s="418"/>
      <c r="G114" s="419"/>
      <c r="H114" s="464"/>
      <c r="I114" s="465"/>
      <c r="J114" s="465"/>
      <c r="K114" s="466"/>
      <c r="L114" s="418"/>
      <c r="M114" s="418"/>
      <c r="N114" s="418"/>
      <c r="O114" s="418"/>
      <c r="P114" s="419"/>
      <c r="Q114" s="419"/>
      <c r="R114" s="419"/>
      <c r="S114" s="419"/>
      <c r="T114" s="418"/>
      <c r="U114" s="418"/>
    </row>
    <row r="115" spans="6:21" ht="14.25" customHeight="1">
      <c r="F115" s="418"/>
      <c r="G115" s="419"/>
      <c r="H115" s="464"/>
      <c r="I115" s="465"/>
      <c r="J115" s="465"/>
      <c r="K115" s="466"/>
      <c r="L115" s="418"/>
      <c r="M115" s="418"/>
      <c r="N115" s="418"/>
      <c r="O115" s="418"/>
      <c r="P115" s="419"/>
      <c r="Q115" s="419"/>
      <c r="R115" s="419"/>
      <c r="S115" s="419"/>
      <c r="T115" s="418"/>
      <c r="U115" s="418"/>
    </row>
    <row r="116" spans="6:21" ht="14.25" customHeight="1">
      <c r="F116" s="418"/>
      <c r="G116" s="419"/>
      <c r="H116" s="464"/>
      <c r="I116" s="465"/>
      <c r="J116" s="465"/>
      <c r="K116" s="466"/>
      <c r="L116" s="418"/>
      <c r="M116" s="418"/>
      <c r="N116" s="418"/>
      <c r="O116" s="418"/>
      <c r="P116" s="419"/>
      <c r="Q116" s="419"/>
      <c r="R116" s="419"/>
      <c r="S116" s="419"/>
      <c r="T116" s="418"/>
      <c r="U116" s="418"/>
    </row>
  </sheetData>
  <mergeCells count="1">
    <mergeCell ref="C2:D3"/>
  </mergeCells>
  <phoneticPr fontId="65" type="noConversion"/>
  <dataValidations disablePrompts="1" count="1">
    <dataValidation type="decimal" allowBlank="1" showInputMessage="1" showErrorMessage="1" errorTitle="invalid value" error="percentage must be between 0 and 100" sqref="I8:I9 K8:K9" xr:uid="{00000000-0002-0000-0100-000001000000}">
      <formula1>0</formula1>
      <formula2>100</formula2>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A67B9-AFDC-47CC-B09B-3B00F6207600}">
  <sheetPr>
    <tabColor rgb="FF00B050"/>
  </sheetPr>
  <dimension ref="B1:X48"/>
  <sheetViews>
    <sheetView showGridLines="0" zoomScale="80" zoomScaleNormal="80" workbookViewId="0">
      <selection activeCell="K16" sqref="K16"/>
    </sheetView>
  </sheetViews>
  <sheetFormatPr defaultColWidth="11.42578125" defaultRowHeight="14.45"/>
  <cols>
    <col min="1" max="1" width="3.7109375" customWidth="1"/>
    <col min="2" max="2" width="3.5703125" customWidth="1"/>
    <col min="3" max="3" width="10.5703125" customWidth="1"/>
    <col min="4" max="4" width="29.85546875" bestFit="1" customWidth="1"/>
    <col min="5" max="5" width="3.5703125" customWidth="1"/>
    <col min="6" max="6" width="3.7109375" customWidth="1"/>
    <col min="7" max="7" width="40.5703125" style="400" customWidth="1"/>
    <col min="8" max="8" width="10.5703125" customWidth="1"/>
    <col min="9" max="9" width="17.7109375" customWidth="1"/>
    <col min="10" max="11" width="15.5703125" customWidth="1"/>
    <col min="12" max="12" width="5.5703125" customWidth="1"/>
    <col min="13" max="13" width="20.5703125" customWidth="1"/>
    <col min="14" max="14" width="10.5703125" customWidth="1"/>
    <col min="15" max="15" width="5.5703125" customWidth="1"/>
    <col min="16" max="16" width="20.5703125" customWidth="1"/>
    <col min="17" max="18" width="10.5703125" customWidth="1"/>
    <col min="19" max="20" width="5.5703125" customWidth="1"/>
    <col min="21" max="23" width="19.85546875" bestFit="1" customWidth="1"/>
    <col min="24" max="24" width="19.7109375" bestFit="1" customWidth="1"/>
  </cols>
  <sheetData>
    <row r="1" spans="2:24" s="361" customFormat="1" ht="50.1" customHeight="1" thickBot="1">
      <c r="B1"/>
      <c r="C1"/>
      <c r="D1"/>
      <c r="E1"/>
      <c r="G1" s="369" t="s">
        <v>219</v>
      </c>
      <c r="H1" s="369"/>
      <c r="I1" s="369"/>
      <c r="J1" s="369"/>
      <c r="K1" s="369"/>
      <c r="L1" s="369"/>
      <c r="M1" s="369"/>
      <c r="N1" s="369"/>
      <c r="O1" s="369"/>
      <c r="P1" s="369"/>
      <c r="Q1" s="369"/>
      <c r="R1" s="369"/>
      <c r="S1" s="369"/>
    </row>
    <row r="2" spans="2:24" s="361" customFormat="1" ht="20.100000000000001" customHeight="1">
      <c r="B2" s="647"/>
      <c r="C2" s="917" t="s">
        <v>162</v>
      </c>
      <c r="D2" s="917"/>
      <c r="E2" s="657"/>
      <c r="G2" s="735" t="s">
        <v>163</v>
      </c>
      <c r="H2" s="736" t="s">
        <v>164</v>
      </c>
      <c r="I2" s="372" t="s">
        <v>165</v>
      </c>
      <c r="J2" s="373" t="s">
        <v>166</v>
      </c>
      <c r="K2" s="656" t="s">
        <v>167</v>
      </c>
      <c r="L2" s="374"/>
      <c r="M2" s="401" t="s">
        <v>168</v>
      </c>
      <c r="N2" s="401" t="s">
        <v>169</v>
      </c>
      <c r="O2" s="401" t="s">
        <v>170</v>
      </c>
      <c r="P2" s="375" t="s">
        <v>168</v>
      </c>
      <c r="Q2" s="375" t="s">
        <v>166</v>
      </c>
      <c r="R2" s="375" t="s">
        <v>169</v>
      </c>
      <c r="S2" s="375" t="s">
        <v>170</v>
      </c>
      <c r="T2" s="374" t="s">
        <v>171</v>
      </c>
      <c r="U2" s="362"/>
      <c r="V2" s="376" t="s">
        <v>181</v>
      </c>
      <c r="W2" s="374"/>
    </row>
    <row r="3" spans="2:24" s="361" customFormat="1" ht="20.100000000000001" customHeight="1" thickBot="1">
      <c r="B3" s="648"/>
      <c r="C3" s="918"/>
      <c r="D3" s="918"/>
      <c r="E3" s="658"/>
      <c r="G3" s="377" t="s">
        <v>220</v>
      </c>
      <c r="H3" s="378" t="s">
        <v>221</v>
      </c>
      <c r="I3" s="379"/>
      <c r="J3" s="380"/>
      <c r="K3" s="381">
        <v>3065</v>
      </c>
      <c r="L3" s="374"/>
      <c r="M3" s="382"/>
      <c r="N3" s="382"/>
      <c r="O3" s="355"/>
      <c r="P3" s="382"/>
      <c r="Q3" s="382"/>
      <c r="R3" s="382"/>
      <c r="S3" s="355"/>
      <c r="T3" s="374"/>
      <c r="U3" s="384"/>
      <c r="V3" s="376" t="s">
        <v>222</v>
      </c>
      <c r="W3" s="374"/>
    </row>
    <row r="4" spans="2:24" s="361" customFormat="1" ht="20.100000000000001" customHeight="1" thickBot="1">
      <c r="B4" s="648"/>
      <c r="C4" s="756"/>
      <c r="D4" s="376" t="s">
        <v>174</v>
      </c>
      <c r="E4" s="649"/>
      <c r="G4" s="377" t="s">
        <v>223</v>
      </c>
      <c r="H4" s="378" t="s">
        <v>221</v>
      </c>
      <c r="I4" s="385"/>
      <c r="J4" s="380"/>
      <c r="K4" s="381"/>
      <c r="L4" s="374"/>
      <c r="M4" s="382"/>
      <c r="N4" s="382"/>
      <c r="O4" s="382"/>
      <c r="P4" s="382"/>
      <c r="Q4" s="382"/>
      <c r="R4" s="382"/>
      <c r="S4" s="355"/>
      <c r="T4" s="374"/>
      <c r="U4" s="386"/>
      <c r="V4" s="376" t="s">
        <v>186</v>
      </c>
      <c r="W4" s="374"/>
    </row>
    <row r="5" spans="2:24" s="361" customFormat="1" ht="20.100000000000001" customHeight="1" thickBot="1">
      <c r="B5" s="648"/>
      <c r="C5" s="755"/>
      <c r="D5" s="376" t="s">
        <v>177</v>
      </c>
      <c r="E5" s="649"/>
      <c r="G5" s="387"/>
      <c r="H5" s="388"/>
      <c r="I5" s="374"/>
      <c r="J5" s="374"/>
      <c r="K5" s="374"/>
      <c r="L5" s="374"/>
      <c r="M5" s="374"/>
      <c r="N5" s="374"/>
      <c r="O5" s="374"/>
      <c r="P5" s="374"/>
      <c r="Q5" s="374"/>
      <c r="R5" s="374"/>
      <c r="S5" s="374"/>
      <c r="T5" s="374" t="s">
        <v>171</v>
      </c>
      <c r="U5" s="389"/>
      <c r="V5" s="376" t="s">
        <v>188</v>
      </c>
      <c r="W5" s="374"/>
    </row>
    <row r="6" spans="2:24" s="361" customFormat="1" ht="20.100000000000001" customHeight="1">
      <c r="B6" s="648"/>
      <c r="C6" s="655"/>
      <c r="D6" s="376" t="s">
        <v>167</v>
      </c>
      <c r="E6" s="649"/>
      <c r="G6" s="735" t="s">
        <v>163</v>
      </c>
      <c r="H6" s="736" t="s">
        <v>164</v>
      </c>
      <c r="I6" s="372" t="s">
        <v>165</v>
      </c>
      <c r="J6" s="373" t="s">
        <v>166</v>
      </c>
      <c r="K6" s="656" t="s">
        <v>167</v>
      </c>
      <c r="L6" s="374"/>
      <c r="M6" s="401" t="s">
        <v>168</v>
      </c>
      <c r="N6" s="401" t="s">
        <v>169</v>
      </c>
      <c r="O6" s="401" t="s">
        <v>170</v>
      </c>
      <c r="P6" s="375" t="s">
        <v>168</v>
      </c>
      <c r="Q6" s="375" t="s">
        <v>166</v>
      </c>
      <c r="R6" s="375" t="s">
        <v>169</v>
      </c>
      <c r="S6" s="375" t="s">
        <v>170</v>
      </c>
      <c r="T6" s="374" t="s">
        <v>171</v>
      </c>
      <c r="W6" s="374"/>
      <c r="X6" s="376"/>
    </row>
    <row r="7" spans="2:24" s="361" customFormat="1" ht="20.100000000000001" customHeight="1">
      <c r="B7" s="648"/>
      <c r="C7" s="362"/>
      <c r="D7" s="376" t="s">
        <v>181</v>
      </c>
      <c r="E7" s="649"/>
      <c r="G7" s="390" t="s">
        <v>56</v>
      </c>
      <c r="H7" s="391" t="s">
        <v>224</v>
      </c>
      <c r="I7" s="392"/>
      <c r="J7" s="468"/>
      <c r="K7" s="393"/>
      <c r="M7" s="368"/>
      <c r="N7" s="368"/>
      <c r="O7" s="368"/>
      <c r="P7" s="383"/>
      <c r="Q7" s="394"/>
      <c r="R7" s="382"/>
      <c r="S7" s="355"/>
      <c r="T7" s="374"/>
      <c r="V7" s="374"/>
      <c r="W7" s="374"/>
    </row>
    <row r="8" spans="2:24" s="361" customFormat="1" ht="20.100000000000001" customHeight="1">
      <c r="B8" s="648"/>
      <c r="C8" s="384"/>
      <c r="D8" s="376" t="s">
        <v>184</v>
      </c>
      <c r="E8" s="649"/>
      <c r="G8" s="390" t="s">
        <v>58</v>
      </c>
      <c r="H8" s="391" t="s">
        <v>224</v>
      </c>
      <c r="I8" s="392"/>
      <c r="J8" s="468"/>
      <c r="K8" s="393"/>
      <c r="M8" s="368"/>
      <c r="N8" s="368"/>
      <c r="O8" s="368"/>
      <c r="P8" s="383"/>
      <c r="Q8" s="394"/>
      <c r="R8" s="382"/>
      <c r="S8" s="355"/>
      <c r="T8" s="374"/>
    </row>
    <row r="9" spans="2:24" s="361" customFormat="1" ht="20.100000000000001" customHeight="1">
      <c r="B9" s="648"/>
      <c r="C9" s="386"/>
      <c r="D9" s="376" t="s">
        <v>186</v>
      </c>
      <c r="E9" s="649"/>
      <c r="G9" s="390" t="s">
        <v>225</v>
      </c>
      <c r="H9" s="391" t="s">
        <v>224</v>
      </c>
      <c r="I9" s="392"/>
      <c r="J9" s="468"/>
      <c r="K9" s="395"/>
      <c r="M9" s="368"/>
      <c r="N9" s="368"/>
      <c r="O9" s="368"/>
      <c r="P9" s="383"/>
      <c r="Q9" s="394"/>
      <c r="R9" s="382"/>
      <c r="S9" s="355"/>
      <c r="T9" s="374"/>
    </row>
    <row r="10" spans="2:24" s="361" customFormat="1" ht="20.100000000000001" customHeight="1" thickBot="1">
      <c r="B10" s="648"/>
      <c r="C10" s="389"/>
      <c r="D10" s="376" t="s">
        <v>188</v>
      </c>
      <c r="E10" s="649"/>
      <c r="G10" s="390" t="s">
        <v>62</v>
      </c>
      <c r="H10" s="391" t="s">
        <v>224</v>
      </c>
      <c r="I10" s="396"/>
      <c r="J10" s="468"/>
      <c r="K10" s="395"/>
      <c r="M10" s="368"/>
      <c r="N10" s="368"/>
      <c r="O10" s="368"/>
      <c r="P10" s="383"/>
      <c r="Q10" s="394"/>
      <c r="R10" s="382"/>
      <c r="S10" s="355"/>
      <c r="T10" s="374"/>
    </row>
    <row r="11" spans="2:24" s="361" customFormat="1" ht="20.100000000000001" customHeight="1" thickBot="1">
      <c r="B11" s="648"/>
      <c r="C11"/>
      <c r="D11" s="376"/>
      <c r="E11" s="649"/>
      <c r="G11" s="387"/>
      <c r="H11" s="388"/>
      <c r="I11" s="374"/>
      <c r="J11" s="374"/>
      <c r="K11" s="374"/>
      <c r="P11" s="397"/>
      <c r="Q11" s="397"/>
      <c r="R11" s="397"/>
      <c r="S11" s="397"/>
      <c r="T11" s="374" t="s">
        <v>171</v>
      </c>
    </row>
    <row r="12" spans="2:24" s="361" customFormat="1" ht="20.100000000000001" customHeight="1">
      <c r="B12" s="648"/>
      <c r="C12" s="752" t="s">
        <v>190</v>
      </c>
      <c r="D12" s="646" t="s">
        <v>191</v>
      </c>
      <c r="E12" s="650"/>
      <c r="G12" s="735" t="s">
        <v>163</v>
      </c>
      <c r="H12" s="736" t="s">
        <v>164</v>
      </c>
      <c r="I12" s="372" t="s">
        <v>165</v>
      </c>
      <c r="J12" s="373" t="s">
        <v>166</v>
      </c>
      <c r="K12" s="656" t="s">
        <v>167</v>
      </c>
      <c r="L12" s="374"/>
      <c r="M12" s="401" t="s">
        <v>168</v>
      </c>
      <c r="N12" s="401" t="s">
        <v>169</v>
      </c>
      <c r="O12" s="401" t="s">
        <v>170</v>
      </c>
      <c r="P12" s="375" t="s">
        <v>168</v>
      </c>
      <c r="Q12" s="375" t="s">
        <v>166</v>
      </c>
      <c r="R12" s="375" t="s">
        <v>169</v>
      </c>
      <c r="S12" s="375" t="s">
        <v>170</v>
      </c>
      <c r="T12" s="374" t="s">
        <v>171</v>
      </c>
    </row>
    <row r="13" spans="2:24" s="361" customFormat="1" ht="20.100000000000001" customHeight="1">
      <c r="B13" s="648"/>
      <c r="C13" s="753" t="s">
        <v>190</v>
      </c>
      <c r="D13" s="376" t="s">
        <v>192</v>
      </c>
      <c r="E13" s="649"/>
      <c r="G13" s="398" t="s">
        <v>226</v>
      </c>
      <c r="H13" s="391" t="s">
        <v>224</v>
      </c>
      <c r="I13" s="363"/>
      <c r="J13" s="364"/>
      <c r="K13" s="365"/>
      <c r="M13" s="368"/>
      <c r="N13" s="368"/>
      <c r="O13" s="368"/>
      <c r="P13" s="382"/>
      <c r="Q13" s="394"/>
      <c r="R13" s="382"/>
      <c r="S13" s="355"/>
      <c r="T13" s="374" t="s">
        <v>171</v>
      </c>
    </row>
    <row r="14" spans="2:24" s="361" customFormat="1" ht="20.100000000000001" customHeight="1">
      <c r="B14" s="648"/>
      <c r="C14" s="754" t="s">
        <v>190</v>
      </c>
      <c r="D14" s="376" t="s">
        <v>194</v>
      </c>
      <c r="E14" s="649"/>
      <c r="G14" s="398" t="s">
        <v>227</v>
      </c>
      <c r="H14" s="391" t="s">
        <v>224</v>
      </c>
      <c r="I14" s="363"/>
      <c r="J14" s="366"/>
      <c r="K14" s="365"/>
      <c r="M14" s="368"/>
      <c r="N14" s="368"/>
      <c r="O14" s="368"/>
      <c r="P14" s="382"/>
      <c r="Q14" s="394"/>
      <c r="R14" s="382"/>
      <c r="S14" s="355"/>
      <c r="T14" s="374" t="s">
        <v>171</v>
      </c>
    </row>
    <row r="15" spans="2:24" s="361" customFormat="1" ht="20.100000000000001" customHeight="1" thickBot="1">
      <c r="B15" s="651"/>
      <c r="C15" s="652"/>
      <c r="D15" s="652"/>
      <c r="E15" s="653"/>
      <c r="G15" s="398" t="s">
        <v>228</v>
      </c>
      <c r="H15" s="391" t="s">
        <v>224</v>
      </c>
      <c r="I15" s="363"/>
      <c r="J15" s="366"/>
      <c r="K15" s="365"/>
      <c r="M15" s="368"/>
      <c r="N15" s="368"/>
      <c r="O15" s="368"/>
      <c r="P15" s="382"/>
      <c r="Q15" s="394"/>
      <c r="R15" s="382"/>
      <c r="S15" s="355"/>
      <c r="T15" s="374" t="s">
        <v>171</v>
      </c>
    </row>
    <row r="16" spans="2:24" s="361" customFormat="1" ht="20.100000000000001" customHeight="1">
      <c r="B16"/>
      <c r="C16"/>
      <c r="D16"/>
      <c r="E16"/>
      <c r="G16" s="398" t="s">
        <v>229</v>
      </c>
      <c r="H16" s="391" t="s">
        <v>224</v>
      </c>
      <c r="I16" s="363"/>
      <c r="J16" s="366"/>
      <c r="K16" s="365"/>
      <c r="M16" s="368"/>
      <c r="N16" s="368"/>
      <c r="O16" s="368"/>
      <c r="P16" s="382"/>
      <c r="Q16" s="394"/>
      <c r="R16" s="382"/>
      <c r="S16" s="355"/>
      <c r="T16" s="374" t="s">
        <v>171</v>
      </c>
    </row>
    <row r="17" spans="2:20" s="361" customFormat="1" ht="20.100000000000001" customHeight="1">
      <c r="B17"/>
      <c r="C17"/>
      <c r="D17"/>
      <c r="E17"/>
      <c r="G17" s="398" t="s">
        <v>230</v>
      </c>
      <c r="H17" s="391" t="s">
        <v>224</v>
      </c>
      <c r="I17" s="363"/>
      <c r="J17" s="366"/>
      <c r="K17" s="365"/>
      <c r="M17" s="368"/>
      <c r="N17" s="368"/>
      <c r="O17" s="368"/>
      <c r="P17" s="382"/>
      <c r="Q17" s="394"/>
      <c r="R17" s="382"/>
      <c r="S17" s="355"/>
      <c r="T17" s="374" t="s">
        <v>171</v>
      </c>
    </row>
    <row r="18" spans="2:20" s="361" customFormat="1" ht="20.100000000000001" customHeight="1">
      <c r="B18"/>
      <c r="E18"/>
      <c r="G18" s="398" t="s">
        <v>231</v>
      </c>
      <c r="H18" s="391" t="s">
        <v>224</v>
      </c>
      <c r="I18" s="363"/>
      <c r="J18" s="366"/>
      <c r="K18" s="365"/>
      <c r="M18" s="368"/>
      <c r="N18" s="368"/>
      <c r="O18" s="368"/>
      <c r="P18" s="382"/>
      <c r="Q18" s="394"/>
      <c r="R18" s="382"/>
      <c r="S18" s="355"/>
      <c r="T18" s="374" t="s">
        <v>171</v>
      </c>
    </row>
    <row r="19" spans="2:20" s="361" customFormat="1" ht="20.100000000000001" customHeight="1">
      <c r="B19"/>
      <c r="E19"/>
      <c r="G19" s="398" t="s">
        <v>232</v>
      </c>
      <c r="H19" s="391" t="s">
        <v>224</v>
      </c>
      <c r="I19" s="363"/>
      <c r="J19" s="366"/>
      <c r="K19" s="365"/>
      <c r="M19" s="368"/>
      <c r="N19" s="368"/>
      <c r="O19" s="368"/>
      <c r="P19" s="382"/>
      <c r="Q19" s="394"/>
      <c r="R19" s="382"/>
      <c r="S19" s="355"/>
      <c r="T19" s="374" t="s">
        <v>171</v>
      </c>
    </row>
    <row r="20" spans="2:20" s="361" customFormat="1" ht="20.100000000000001" customHeight="1">
      <c r="B20"/>
      <c r="E20"/>
      <c r="G20" s="398" t="s">
        <v>233</v>
      </c>
      <c r="H20" s="391" t="s">
        <v>224</v>
      </c>
      <c r="I20" s="363"/>
      <c r="J20" s="366"/>
      <c r="K20" s="365"/>
      <c r="M20" s="368"/>
      <c r="N20" s="368"/>
      <c r="O20" s="368"/>
      <c r="P20" s="382"/>
      <c r="Q20" s="394"/>
      <c r="R20" s="382"/>
      <c r="S20" s="355"/>
      <c r="T20" s="374" t="s">
        <v>171</v>
      </c>
    </row>
    <row r="21" spans="2:20" s="361" customFormat="1" ht="20.100000000000001" customHeight="1">
      <c r="B21"/>
      <c r="C21"/>
      <c r="D21"/>
      <c r="E21"/>
      <c r="G21" s="398" t="s">
        <v>234</v>
      </c>
      <c r="H21" s="391" t="s">
        <v>224</v>
      </c>
      <c r="I21" s="363"/>
      <c r="J21" s="366"/>
      <c r="K21" s="365"/>
      <c r="M21" s="368"/>
      <c r="N21" s="368"/>
      <c r="O21" s="368"/>
      <c r="P21" s="382"/>
      <c r="Q21" s="394"/>
      <c r="R21" s="382"/>
      <c r="S21" s="355"/>
      <c r="T21" s="374" t="s">
        <v>171</v>
      </c>
    </row>
    <row r="22" spans="2:20" s="361" customFormat="1" ht="20.100000000000001" customHeight="1">
      <c r="B22"/>
      <c r="C22"/>
      <c r="D22"/>
      <c r="E22"/>
      <c r="G22" s="398" t="s">
        <v>235</v>
      </c>
      <c r="H22" s="391" t="s">
        <v>224</v>
      </c>
      <c r="I22" s="363"/>
      <c r="J22" s="366"/>
      <c r="K22" s="365"/>
      <c r="M22" s="368"/>
      <c r="N22" s="368"/>
      <c r="O22" s="368"/>
      <c r="P22" s="382"/>
      <c r="Q22" s="394"/>
      <c r="R22" s="382"/>
      <c r="S22" s="355"/>
      <c r="T22" s="374" t="s">
        <v>171</v>
      </c>
    </row>
    <row r="23" spans="2:20" s="361" customFormat="1" ht="20.100000000000001" customHeight="1">
      <c r="B23"/>
      <c r="C23"/>
      <c r="D23"/>
      <c r="E23"/>
      <c r="G23" s="398" t="s">
        <v>236</v>
      </c>
      <c r="H23" s="391" t="s">
        <v>224</v>
      </c>
      <c r="I23" s="363"/>
      <c r="J23" s="366"/>
      <c r="K23" s="365"/>
      <c r="M23" s="368"/>
      <c r="N23" s="368"/>
      <c r="O23" s="368"/>
      <c r="P23" s="382"/>
      <c r="Q23" s="394"/>
      <c r="R23" s="382"/>
      <c r="S23" s="355"/>
      <c r="T23" s="374" t="s">
        <v>171</v>
      </c>
    </row>
    <row r="24" spans="2:20" s="361" customFormat="1" ht="20.100000000000001" customHeight="1" thickBot="1">
      <c r="B24"/>
      <c r="C24"/>
      <c r="D24"/>
      <c r="E24"/>
      <c r="G24" s="398" t="s">
        <v>237</v>
      </c>
      <c r="H24" s="391" t="s">
        <v>224</v>
      </c>
      <c r="I24" s="367"/>
      <c r="J24" s="366"/>
      <c r="K24" s="365"/>
      <c r="M24" s="368"/>
      <c r="N24" s="368"/>
      <c r="O24" s="368"/>
      <c r="P24" s="382"/>
      <c r="Q24" s="394"/>
      <c r="R24" s="382"/>
      <c r="S24" s="355"/>
      <c r="T24" s="374" t="s">
        <v>171</v>
      </c>
    </row>
    <row r="25" spans="2:20" s="361" customFormat="1" ht="20.100000000000001" customHeight="1">
      <c r="B25"/>
      <c r="C25"/>
      <c r="D25"/>
      <c r="E25"/>
      <c r="G25" s="399"/>
    </row>
    <row r="47" spans="2:5" ht="15.6">
      <c r="C47" s="354"/>
      <c r="D47" s="354"/>
      <c r="E47" s="354"/>
    </row>
    <row r="48" spans="2:5" ht="15.6">
      <c r="B48" s="354"/>
    </row>
  </sheetData>
  <mergeCells count="1">
    <mergeCell ref="C2:D3"/>
  </mergeCells>
  <phoneticPr fontId="65" type="noConversion"/>
  <dataValidations disablePrompts="1" count="1">
    <dataValidation type="decimal" allowBlank="1" showInputMessage="1" showErrorMessage="1" errorTitle="invalid value" error="percentage must be between 0 and 100" sqref="P11:S11" xr:uid="{0AA8B83A-A50E-4A9A-AC32-13BA8125D598}">
      <formula1>0</formula1>
      <formula2>100</formula2>
    </dataValidation>
  </dataValidation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50"/>
  </sheetPr>
  <dimension ref="B1:AC114"/>
  <sheetViews>
    <sheetView showGridLines="0" topLeftCell="D1" zoomScale="80" zoomScaleNormal="80" workbookViewId="0">
      <selection activeCell="N19" sqref="N19"/>
    </sheetView>
  </sheetViews>
  <sheetFormatPr defaultColWidth="9.140625" defaultRowHeight="15" customHeight="1"/>
  <cols>
    <col min="1" max="2" width="3.7109375" customWidth="1"/>
    <col min="3" max="3" width="10.5703125" customWidth="1"/>
    <col min="4" max="4" width="29.85546875" bestFit="1" customWidth="1"/>
    <col min="5" max="5" width="3.5703125" customWidth="1"/>
    <col min="6" max="6" width="3.7109375" customWidth="1"/>
    <col min="7" max="7" width="48.85546875" style="473" customWidth="1"/>
    <col min="8" max="8" width="15.7109375" style="473" customWidth="1"/>
    <col min="9" max="9" width="17.7109375" style="473" customWidth="1"/>
    <col min="10" max="10" width="15.5703125" style="473" customWidth="1"/>
    <col min="11" max="11" width="15.5703125" style="619" customWidth="1"/>
    <col min="12" max="12" width="5.7109375" customWidth="1"/>
    <col min="13" max="13" width="20.5703125" customWidth="1"/>
    <col min="14" max="14" width="10.5703125" customWidth="1"/>
    <col min="15" max="15" width="5.5703125" customWidth="1"/>
    <col min="16" max="16" width="20.5703125" customWidth="1"/>
    <col min="17" max="18" width="10.5703125" customWidth="1"/>
    <col min="19" max="19" width="5.5703125" customWidth="1"/>
    <col min="20" max="20" width="5.7109375" customWidth="1"/>
    <col min="21" max="21" width="10.140625" bestFit="1" customWidth="1"/>
    <col min="22" max="22" width="9.28515625" bestFit="1" customWidth="1"/>
    <col min="23" max="23" width="12.7109375" customWidth="1"/>
    <col min="24" max="24" width="15.7109375" customWidth="1"/>
    <col min="25" max="25" width="16.7109375" customWidth="1"/>
    <col min="26" max="26" width="15.7109375" customWidth="1"/>
  </cols>
  <sheetData>
    <row r="1" spans="2:25" ht="50.1" customHeight="1">
      <c r="G1" s="369" t="s">
        <v>238</v>
      </c>
      <c r="H1" s="369"/>
      <c r="I1" s="369"/>
      <c r="J1" s="369"/>
      <c r="K1" s="618"/>
      <c r="L1" s="369"/>
      <c r="M1" s="369"/>
      <c r="N1" s="369"/>
      <c r="O1" s="369"/>
      <c r="P1" s="369"/>
      <c r="Q1" s="369"/>
      <c r="R1" s="369"/>
      <c r="S1" s="369"/>
      <c r="T1" s="469"/>
      <c r="U1" s="469"/>
      <c r="V1" s="469"/>
      <c r="W1" s="469"/>
      <c r="X1" s="469"/>
      <c r="Y1" s="469"/>
    </row>
    <row r="2" spans="2:25" ht="30" customHeight="1">
      <c r="G2" s="470" t="s">
        <v>239</v>
      </c>
      <c r="H2" s="471"/>
      <c r="I2" s="472"/>
      <c r="J2" s="472"/>
      <c r="K2" s="617"/>
      <c r="L2" s="469"/>
      <c r="M2" s="469"/>
      <c r="N2" s="469"/>
      <c r="O2" s="469"/>
      <c r="P2" s="469"/>
      <c r="Q2" s="469"/>
      <c r="R2" s="469"/>
      <c r="S2" s="469"/>
      <c r="T2" s="469"/>
      <c r="U2" s="469"/>
      <c r="V2" s="469"/>
      <c r="W2" s="469"/>
      <c r="X2" s="469"/>
      <c r="Y2" s="469"/>
    </row>
    <row r="3" spans="2:25" ht="20.100000000000001" customHeight="1" thickBot="1">
      <c r="G3" s="473" t="s">
        <v>240</v>
      </c>
      <c r="L3" s="475"/>
      <c r="M3" s="475"/>
      <c r="N3" s="475"/>
      <c r="O3" s="475"/>
    </row>
    <row r="4" spans="2:25" ht="20.100000000000001" customHeight="1">
      <c r="B4" s="647"/>
      <c r="C4" s="917" t="s">
        <v>162</v>
      </c>
      <c r="D4" s="917"/>
      <c r="E4" s="657"/>
      <c r="G4" s="735" t="s">
        <v>163</v>
      </c>
      <c r="H4" s="736" t="s">
        <v>164</v>
      </c>
      <c r="I4" s="372" t="s">
        <v>165</v>
      </c>
      <c r="J4" s="373" t="s">
        <v>166</v>
      </c>
      <c r="K4" s="656" t="s">
        <v>167</v>
      </c>
      <c r="L4" s="475"/>
      <c r="M4" s="401" t="s">
        <v>168</v>
      </c>
      <c r="N4" s="401" t="s">
        <v>169</v>
      </c>
      <c r="O4" s="401" t="s">
        <v>170</v>
      </c>
      <c r="P4" s="375" t="s">
        <v>168</v>
      </c>
      <c r="Q4" s="375" t="s">
        <v>166</v>
      </c>
      <c r="R4" s="375" t="s">
        <v>169</v>
      </c>
      <c r="S4" s="375" t="s">
        <v>170</v>
      </c>
      <c r="T4" s="469" t="s">
        <v>171</v>
      </c>
      <c r="U4" s="362"/>
      <c r="V4" s="376" t="s">
        <v>181</v>
      </c>
    </row>
    <row r="5" spans="2:25" ht="20.100000000000001" customHeight="1" thickBot="1">
      <c r="B5" s="648"/>
      <c r="C5" s="918"/>
      <c r="D5" s="918"/>
      <c r="E5" s="658"/>
      <c r="G5" s="476" t="s">
        <v>241</v>
      </c>
      <c r="H5" s="477"/>
      <c r="I5" s="478"/>
      <c r="J5" s="479"/>
      <c r="K5" s="728"/>
      <c r="L5" s="475"/>
      <c r="M5" s="480"/>
      <c r="N5" s="480"/>
      <c r="O5" s="480"/>
      <c r="P5" s="480"/>
      <c r="Q5" s="480"/>
      <c r="R5" s="480"/>
      <c r="S5" s="480"/>
      <c r="T5" s="469" t="s">
        <v>171</v>
      </c>
      <c r="U5" s="384"/>
      <c r="V5" s="376" t="s">
        <v>222</v>
      </c>
    </row>
    <row r="6" spans="2:25" ht="20.100000000000001" customHeight="1" thickBot="1">
      <c r="B6" s="648"/>
      <c r="C6" s="756"/>
      <c r="D6" s="376" t="s">
        <v>174</v>
      </c>
      <c r="E6" s="649"/>
      <c r="G6" s="476" t="s">
        <v>242</v>
      </c>
      <c r="H6" s="378" t="s">
        <v>173</v>
      </c>
      <c r="I6" s="492">
        <f>'Population &amp; GDP'!I7</f>
        <v>0</v>
      </c>
      <c r="J6" s="481"/>
      <c r="K6" s="729">
        <f>'Population &amp; GDP'!K7</f>
        <v>8.3057017543859656E-3</v>
      </c>
      <c r="L6" s="475"/>
      <c r="M6" s="482"/>
      <c r="N6" s="482"/>
      <c r="O6" s="482"/>
      <c r="P6" s="482"/>
      <c r="Q6" s="482"/>
      <c r="R6" s="482"/>
      <c r="S6" s="482"/>
      <c r="T6" s="469" t="s">
        <v>171</v>
      </c>
      <c r="U6" s="386"/>
      <c r="V6" s="376" t="s">
        <v>186</v>
      </c>
    </row>
    <row r="7" spans="2:25" ht="20.100000000000001" customHeight="1">
      <c r="B7" s="648"/>
      <c r="C7" s="755"/>
      <c r="D7" s="376" t="s">
        <v>177</v>
      </c>
      <c r="E7" s="649"/>
      <c r="G7" s="476" t="s">
        <v>243</v>
      </c>
      <c r="H7" s="378" t="s">
        <v>176</v>
      </c>
      <c r="I7" s="483"/>
      <c r="J7" s="484"/>
      <c r="K7" s="381"/>
      <c r="L7" s="475"/>
      <c r="M7" s="485"/>
      <c r="N7" s="485"/>
      <c r="O7" s="485"/>
      <c r="P7" s="485"/>
      <c r="Q7" s="485"/>
      <c r="R7" s="485"/>
      <c r="S7" s="485"/>
      <c r="T7" s="469" t="s">
        <v>171</v>
      </c>
      <c r="U7" s="389"/>
      <c r="V7" s="376" t="s">
        <v>188</v>
      </c>
    </row>
    <row r="8" spans="2:25" ht="20.100000000000001" customHeight="1">
      <c r="B8" s="648"/>
      <c r="C8" s="655"/>
      <c r="D8" s="376" t="s">
        <v>167</v>
      </c>
      <c r="E8" s="649"/>
      <c r="G8" s="476" t="s">
        <v>220</v>
      </c>
      <c r="H8" s="378" t="s">
        <v>244</v>
      </c>
      <c r="I8" s="492">
        <f>'DD, Degree days'!I3</f>
        <v>0</v>
      </c>
      <c r="J8" s="481"/>
      <c r="K8" s="730">
        <v>3065</v>
      </c>
      <c r="L8" s="475"/>
      <c r="M8" s="482"/>
      <c r="N8" s="482"/>
      <c r="O8" s="482"/>
      <c r="P8" s="482"/>
      <c r="Q8" s="482"/>
      <c r="R8" s="482"/>
      <c r="S8" s="482"/>
      <c r="T8" s="469" t="s">
        <v>171</v>
      </c>
    </row>
    <row r="9" spans="2:25" ht="20.100000000000001" customHeight="1">
      <c r="B9" s="648"/>
      <c r="C9" s="362"/>
      <c r="D9" s="376" t="s">
        <v>181</v>
      </c>
      <c r="E9" s="649"/>
      <c r="G9" s="476" t="s">
        <v>223</v>
      </c>
      <c r="H9" s="378" t="s">
        <v>244</v>
      </c>
      <c r="I9" s="492">
        <f>'DD, Degree days'!I4</f>
        <v>0</v>
      </c>
      <c r="J9" s="481"/>
      <c r="K9" s="729"/>
      <c r="L9" s="475"/>
      <c r="M9" s="482"/>
      <c r="N9" s="482"/>
      <c r="O9" s="482"/>
      <c r="P9" s="482"/>
      <c r="Q9" s="482"/>
      <c r="R9" s="482"/>
      <c r="S9" s="482"/>
      <c r="T9" s="469" t="s">
        <v>171</v>
      </c>
    </row>
    <row r="10" spans="2:25" ht="20.100000000000001" customHeight="1">
      <c r="B10" s="648"/>
      <c r="C10" s="384"/>
      <c r="D10" s="376" t="s">
        <v>184</v>
      </c>
      <c r="E10" s="649"/>
      <c r="G10" s="476" t="s">
        <v>245</v>
      </c>
      <c r="H10" s="477"/>
      <c r="I10" s="478"/>
      <c r="J10" s="479"/>
      <c r="K10" s="728"/>
      <c r="L10" s="475"/>
      <c r="M10" s="480"/>
      <c r="N10" s="480"/>
      <c r="O10" s="480"/>
      <c r="P10" s="480"/>
      <c r="Q10" s="480"/>
      <c r="R10" s="480"/>
      <c r="S10" s="480"/>
      <c r="T10" s="469"/>
    </row>
    <row r="11" spans="2:25" ht="20.100000000000001" customHeight="1">
      <c r="B11" s="648"/>
      <c r="C11" s="386"/>
      <c r="D11" s="376" t="s">
        <v>186</v>
      </c>
      <c r="E11" s="649"/>
      <c r="G11" s="486" t="s">
        <v>246</v>
      </c>
      <c r="H11" s="487"/>
      <c r="I11" s="488"/>
      <c r="J11" s="489"/>
      <c r="K11" s="731"/>
      <c r="L11" s="475"/>
      <c r="M11" s="490"/>
      <c r="N11" s="490"/>
      <c r="O11" s="490"/>
      <c r="P11" s="490"/>
      <c r="Q11" s="490"/>
      <c r="R11" s="490"/>
      <c r="S11" s="490"/>
      <c r="T11" s="469"/>
    </row>
    <row r="12" spans="2:25" ht="20.100000000000001" customHeight="1">
      <c r="B12" s="648"/>
      <c r="C12" s="389"/>
      <c r="D12" s="376" t="s">
        <v>188</v>
      </c>
      <c r="E12" s="649"/>
      <c r="G12" s="491" t="s">
        <v>247</v>
      </c>
      <c r="H12" s="378" t="s">
        <v>176</v>
      </c>
      <c r="I12" s="483"/>
      <c r="J12" s="484"/>
      <c r="K12" s="381">
        <v>50</v>
      </c>
      <c r="L12" s="475"/>
      <c r="M12" s="394"/>
      <c r="N12" s="382"/>
      <c r="O12" s="355"/>
      <c r="P12" s="394"/>
      <c r="Q12" s="394"/>
      <c r="R12" s="382"/>
      <c r="S12" s="355"/>
      <c r="T12" s="469"/>
    </row>
    <row r="13" spans="2:25" ht="20.100000000000001" customHeight="1">
      <c r="B13" s="648"/>
      <c r="D13" s="376"/>
      <c r="E13" s="649"/>
      <c r="G13" s="491" t="s">
        <v>248</v>
      </c>
      <c r="H13" s="378" t="s">
        <v>176</v>
      </c>
      <c r="I13" s="483"/>
      <c r="J13" s="484"/>
      <c r="K13" s="381"/>
      <c r="L13" s="475"/>
      <c r="M13" s="394"/>
      <c r="N13" s="382"/>
      <c r="O13" s="355"/>
      <c r="P13" s="394"/>
      <c r="Q13" s="394"/>
      <c r="R13" s="382"/>
      <c r="S13" s="355"/>
      <c r="T13" s="469"/>
    </row>
    <row r="14" spans="2:25" ht="20.100000000000001" customHeight="1">
      <c r="B14" s="648"/>
      <c r="C14" s="752" t="s">
        <v>190</v>
      </c>
      <c r="D14" s="646" t="s">
        <v>191</v>
      </c>
      <c r="E14" s="650"/>
      <c r="G14" s="491" t="s">
        <v>249</v>
      </c>
      <c r="H14" s="378" t="s">
        <v>176</v>
      </c>
      <c r="I14" s="492">
        <f>100-SUM(I12:I13)</f>
        <v>100</v>
      </c>
      <c r="J14" s="493"/>
      <c r="K14" s="732"/>
      <c r="L14" s="475"/>
      <c r="M14" s="394"/>
      <c r="N14" s="382"/>
      <c r="O14" s="355"/>
      <c r="P14" s="394"/>
      <c r="Q14" s="394"/>
      <c r="R14" s="382"/>
      <c r="S14" s="355"/>
      <c r="T14" s="469"/>
    </row>
    <row r="15" spans="2:25" ht="20.100000000000001" customHeight="1">
      <c r="B15" s="648"/>
      <c r="C15" s="753" t="s">
        <v>190</v>
      </c>
      <c r="D15" s="376" t="s">
        <v>192</v>
      </c>
      <c r="E15" s="649"/>
      <c r="G15" s="486" t="s">
        <v>250</v>
      </c>
      <c r="H15" s="487"/>
      <c r="I15" s="488"/>
      <c r="J15" s="489"/>
      <c r="K15" s="731"/>
      <c r="L15" s="475"/>
      <c r="M15" s="394"/>
      <c r="N15" s="382"/>
      <c r="O15" s="355"/>
      <c r="P15" s="394"/>
      <c r="Q15" s="394"/>
      <c r="R15" s="382"/>
      <c r="S15" s="355"/>
      <c r="T15" s="469"/>
    </row>
    <row r="16" spans="2:25" s="358" customFormat="1" ht="20.100000000000001" customHeight="1">
      <c r="B16" s="648"/>
      <c r="C16" s="754" t="s">
        <v>190</v>
      </c>
      <c r="D16" s="376" t="s">
        <v>194</v>
      </c>
      <c r="E16" s="649"/>
      <c r="G16" s="491" t="s">
        <v>251</v>
      </c>
      <c r="H16" s="378" t="s">
        <v>252</v>
      </c>
      <c r="I16" s="483"/>
      <c r="J16" s="484"/>
      <c r="K16" s="733">
        <v>138</v>
      </c>
      <c r="L16" s="494"/>
      <c r="M16" s="495"/>
      <c r="N16" s="495"/>
      <c r="O16" s="495"/>
      <c r="P16" s="495"/>
      <c r="Q16" s="495"/>
      <c r="R16" s="495"/>
      <c r="S16" s="495"/>
      <c r="T16" s="496"/>
    </row>
    <row r="17" spans="2:29" ht="20.100000000000001" customHeight="1" thickBot="1">
      <c r="B17" s="651"/>
      <c r="C17" s="652"/>
      <c r="D17" s="652"/>
      <c r="E17" s="653"/>
      <c r="G17" s="491" t="s">
        <v>253</v>
      </c>
      <c r="H17" s="378" t="s">
        <v>252</v>
      </c>
      <c r="I17" s="483"/>
      <c r="J17" s="484"/>
      <c r="K17" s="733"/>
      <c r="L17" s="475"/>
      <c r="M17" s="490"/>
      <c r="N17" s="490"/>
      <c r="O17" s="490"/>
      <c r="P17" s="490"/>
      <c r="Q17" s="490"/>
      <c r="R17" s="490"/>
      <c r="S17" s="490"/>
      <c r="T17" s="469"/>
    </row>
    <row r="18" spans="2:29" ht="20.100000000000001" customHeight="1">
      <c r="C18" s="361"/>
      <c r="D18" s="361"/>
      <c r="G18" s="491" t="s">
        <v>254</v>
      </c>
      <c r="H18" s="378" t="s">
        <v>252</v>
      </c>
      <c r="I18" s="483"/>
      <c r="J18" s="484"/>
      <c r="K18" s="733"/>
      <c r="L18" s="475"/>
      <c r="M18" s="394"/>
      <c r="N18" s="382"/>
      <c r="O18" s="355"/>
      <c r="P18" s="394"/>
      <c r="Q18" s="394"/>
      <c r="R18" s="382"/>
      <c r="S18" s="355"/>
      <c r="T18" s="469"/>
    </row>
    <row r="19" spans="2:29" ht="20.100000000000001" customHeight="1">
      <c r="C19" s="361"/>
      <c r="D19" s="361"/>
      <c r="G19" s="486" t="s">
        <v>255</v>
      </c>
      <c r="H19" s="487"/>
      <c r="I19" s="488"/>
      <c r="J19" s="489"/>
      <c r="K19" s="731"/>
      <c r="L19" s="475"/>
      <c r="M19" s="394"/>
      <c r="N19" s="382"/>
      <c r="O19" s="355"/>
      <c r="P19" s="394"/>
      <c r="Q19" s="394"/>
      <c r="R19" s="382"/>
      <c r="S19" s="355"/>
      <c r="T19" s="469"/>
    </row>
    <row r="20" spans="2:29" ht="20.100000000000001" customHeight="1">
      <c r="C20" s="361"/>
      <c r="D20" s="361"/>
      <c r="G20" s="491" t="s">
        <v>251</v>
      </c>
      <c r="H20" s="378" t="s">
        <v>176</v>
      </c>
      <c r="I20" s="645"/>
      <c r="J20" s="484"/>
      <c r="K20" s="733"/>
      <c r="L20" s="475"/>
      <c r="M20" s="394"/>
      <c r="N20" s="382"/>
      <c r="O20" s="355"/>
      <c r="P20" s="394"/>
      <c r="Q20" s="394"/>
      <c r="R20" s="382"/>
      <c r="S20" s="355"/>
      <c r="T20" s="469"/>
    </row>
    <row r="21" spans="2:29" ht="20.100000000000001" customHeight="1">
      <c r="G21" s="491" t="s">
        <v>253</v>
      </c>
      <c r="H21" s="378" t="s">
        <v>176</v>
      </c>
      <c r="I21" s="645"/>
      <c r="J21" s="484"/>
      <c r="K21" s="733"/>
      <c r="L21" s="475"/>
      <c r="M21" s="394"/>
      <c r="N21" s="382"/>
      <c r="O21" s="355"/>
      <c r="P21" s="394"/>
      <c r="Q21" s="394"/>
      <c r="R21" s="382"/>
      <c r="S21" s="355"/>
      <c r="T21" s="469"/>
    </row>
    <row r="22" spans="2:29" s="358" customFormat="1" ht="20.100000000000001" customHeight="1">
      <c r="B22"/>
      <c r="C22"/>
      <c r="D22"/>
      <c r="E22"/>
      <c r="G22" s="491" t="s">
        <v>254</v>
      </c>
      <c r="H22" s="378" t="s">
        <v>176</v>
      </c>
      <c r="I22" s="645"/>
      <c r="J22" s="484"/>
      <c r="K22" s="733"/>
      <c r="L22" s="494"/>
      <c r="M22" s="497"/>
      <c r="N22" s="498"/>
      <c r="O22" s="357"/>
      <c r="P22" s="497"/>
      <c r="Q22" s="497"/>
      <c r="R22" s="498"/>
      <c r="S22" s="357"/>
      <c r="T22" s="496"/>
      <c r="U22"/>
      <c r="V22"/>
      <c r="W22"/>
      <c r="X22"/>
      <c r="Y22"/>
      <c r="Z22"/>
      <c r="AA22"/>
    </row>
    <row r="23" spans="2:29" ht="20.100000000000001" customHeight="1">
      <c r="G23" s="486" t="s">
        <v>256</v>
      </c>
      <c r="H23" s="487"/>
      <c r="I23" s="488"/>
      <c r="J23" s="489"/>
      <c r="K23" s="731"/>
      <c r="L23" s="475"/>
      <c r="M23" s="490"/>
      <c r="N23" s="490"/>
      <c r="O23" s="490"/>
      <c r="P23" s="490"/>
      <c r="Q23" s="490"/>
      <c r="R23" s="490"/>
      <c r="S23" s="490"/>
      <c r="T23" s="469"/>
    </row>
    <row r="24" spans="2:29" ht="20.100000000000001" customHeight="1">
      <c r="G24" s="491" t="s">
        <v>251</v>
      </c>
      <c r="H24" s="378" t="s">
        <v>257</v>
      </c>
      <c r="I24" s="727"/>
      <c r="J24" s="484"/>
      <c r="K24" s="733">
        <v>1.6</v>
      </c>
      <c r="L24" s="475"/>
      <c r="M24" s="394"/>
      <c r="N24" s="382"/>
      <c r="O24" s="355"/>
      <c r="P24" s="394"/>
      <c r="Q24" s="394"/>
      <c r="R24" s="382"/>
      <c r="S24" s="355"/>
      <c r="T24" s="469"/>
    </row>
    <row r="25" spans="2:29" ht="20.100000000000001" customHeight="1">
      <c r="G25" s="491" t="s">
        <v>253</v>
      </c>
      <c r="H25" s="378" t="s">
        <v>257</v>
      </c>
      <c r="I25" s="727"/>
      <c r="J25" s="484"/>
      <c r="K25" s="733"/>
      <c r="L25" s="475"/>
      <c r="M25" s="394"/>
      <c r="N25" s="382"/>
      <c r="O25" s="355"/>
      <c r="P25" s="394"/>
      <c r="Q25" s="394"/>
      <c r="R25" s="382"/>
      <c r="S25" s="355"/>
      <c r="T25" s="469"/>
    </row>
    <row r="26" spans="2:29" ht="20.100000000000001" customHeight="1">
      <c r="G26" s="491" t="s">
        <v>254</v>
      </c>
      <c r="H26" s="378" t="s">
        <v>257</v>
      </c>
      <c r="I26" s="616"/>
      <c r="J26" s="484"/>
      <c r="K26" s="733"/>
      <c r="L26" s="475"/>
      <c r="M26" s="394"/>
      <c r="N26" s="382"/>
      <c r="O26" s="355"/>
      <c r="P26" s="394"/>
      <c r="Q26" s="394"/>
      <c r="R26" s="382"/>
      <c r="S26" s="355"/>
      <c r="T26" s="469"/>
    </row>
    <row r="27" spans="2:29" ht="20.100000000000001" customHeight="1">
      <c r="G27" s="486" t="s">
        <v>258</v>
      </c>
      <c r="H27" s="487"/>
      <c r="I27" s="488"/>
      <c r="J27" s="489"/>
      <c r="K27" s="731"/>
      <c r="L27" s="475"/>
      <c r="M27" s="490"/>
      <c r="N27" s="490"/>
      <c r="O27" s="490"/>
      <c r="P27" s="490"/>
      <c r="Q27" s="490"/>
      <c r="R27" s="490"/>
      <c r="S27" s="490"/>
      <c r="T27" s="469"/>
    </row>
    <row r="28" spans="2:29" s="358" customFormat="1" ht="20.100000000000001" customHeight="1">
      <c r="B28"/>
      <c r="C28"/>
      <c r="D28"/>
      <c r="E28"/>
      <c r="G28" s="491" t="s">
        <v>251</v>
      </c>
      <c r="H28" s="378" t="s">
        <v>176</v>
      </c>
      <c r="I28" s="616"/>
      <c r="J28" s="484"/>
      <c r="K28" s="381">
        <v>10</v>
      </c>
      <c r="L28" s="494"/>
      <c r="M28" s="501"/>
      <c r="N28" s="485"/>
      <c r="O28" s="485"/>
      <c r="P28" s="501"/>
      <c r="Q28" s="485"/>
      <c r="R28" s="485"/>
      <c r="S28" s="485"/>
      <c r="T28" s="496"/>
      <c r="U28"/>
      <c r="V28"/>
      <c r="W28"/>
      <c r="X28"/>
      <c r="Y28"/>
      <c r="Z28"/>
      <c r="AA28"/>
    </row>
    <row r="29" spans="2:29" ht="20.100000000000001" customHeight="1">
      <c r="G29" s="491" t="s">
        <v>253</v>
      </c>
      <c r="H29" s="378" t="s">
        <v>176</v>
      </c>
      <c r="I29" s="616"/>
      <c r="J29" s="484"/>
      <c r="K29" s="381"/>
      <c r="L29" s="475"/>
      <c r="M29" s="501"/>
      <c r="N29" s="485"/>
      <c r="O29" s="485"/>
      <c r="P29" s="501"/>
      <c r="Q29" s="485"/>
      <c r="R29" s="485"/>
      <c r="S29" s="485"/>
      <c r="T29" s="469"/>
    </row>
    <row r="30" spans="2:29" ht="20.100000000000001" customHeight="1">
      <c r="G30" s="491" t="s">
        <v>254</v>
      </c>
      <c r="H30" s="378" t="s">
        <v>176</v>
      </c>
      <c r="I30" s="616"/>
      <c r="J30" s="484"/>
      <c r="K30" s="733"/>
      <c r="L30" s="475"/>
      <c r="M30" s="501"/>
      <c r="N30" s="485"/>
      <c r="O30" s="485"/>
      <c r="P30" s="501"/>
      <c r="Q30" s="485"/>
      <c r="R30" s="485"/>
      <c r="S30" s="485"/>
      <c r="T30" s="469"/>
      <c r="AB30" s="500"/>
      <c r="AC30" s="500"/>
    </row>
    <row r="31" spans="2:29" ht="20.100000000000001" customHeight="1">
      <c r="G31" s="486" t="s">
        <v>259</v>
      </c>
      <c r="H31" s="487"/>
      <c r="I31" s="488"/>
      <c r="J31" s="489"/>
      <c r="K31" s="731"/>
      <c r="L31" s="475"/>
      <c r="M31" s="490"/>
      <c r="N31" s="490"/>
      <c r="O31" s="490"/>
      <c r="P31" s="490"/>
      <c r="Q31" s="490"/>
      <c r="R31" s="490"/>
      <c r="S31" s="490"/>
      <c r="T31" s="469"/>
      <c r="AB31" s="500"/>
      <c r="AC31" s="500"/>
    </row>
    <row r="32" spans="2:29" ht="20.100000000000001" customHeight="1">
      <c r="G32" s="491" t="s">
        <v>251</v>
      </c>
      <c r="H32" s="378" t="s">
        <v>260</v>
      </c>
      <c r="I32" s="379"/>
      <c r="J32" s="484"/>
      <c r="K32" s="733"/>
      <c r="L32" s="475"/>
      <c r="M32" s="501"/>
      <c r="N32" s="485"/>
      <c r="O32" s="485"/>
      <c r="P32" s="501"/>
      <c r="Q32" s="485"/>
      <c r="R32" s="485"/>
      <c r="S32" s="485"/>
      <c r="T32" s="469"/>
      <c r="AB32" s="500"/>
      <c r="AC32" s="500"/>
    </row>
    <row r="33" spans="3:29" ht="20.100000000000001" customHeight="1">
      <c r="G33" s="491" t="s">
        <v>253</v>
      </c>
      <c r="H33" s="378" t="s">
        <v>260</v>
      </c>
      <c r="I33" s="379"/>
      <c r="J33" s="484"/>
      <c r="K33" s="733"/>
      <c r="L33" s="475"/>
      <c r="M33" s="501"/>
      <c r="N33" s="485"/>
      <c r="O33" s="485"/>
      <c r="P33" s="501"/>
      <c r="Q33" s="485"/>
      <c r="R33" s="485"/>
      <c r="S33" s="485"/>
      <c r="T33" s="469"/>
      <c r="X33" s="500"/>
      <c r="Y33" s="500"/>
      <c r="Z33" s="500"/>
      <c r="AA33" s="500"/>
      <c r="AB33" s="500"/>
      <c r="AC33" s="500"/>
    </row>
    <row r="34" spans="3:29" ht="20.100000000000001" customHeight="1" thickBot="1">
      <c r="G34" s="491" t="s">
        <v>254</v>
      </c>
      <c r="H34" s="378" t="s">
        <v>260</v>
      </c>
      <c r="I34" s="385"/>
      <c r="J34" s="484"/>
      <c r="K34" s="733"/>
      <c r="L34" s="475"/>
      <c r="M34" s="501"/>
      <c r="N34" s="485"/>
      <c r="O34" s="485"/>
      <c r="P34" s="501"/>
      <c r="Q34" s="485"/>
      <c r="R34" s="485"/>
      <c r="S34" s="485"/>
      <c r="T34" s="469"/>
      <c r="X34" s="500"/>
      <c r="Y34" s="500"/>
      <c r="Z34" s="500"/>
      <c r="AA34" s="500"/>
      <c r="AB34" s="500"/>
      <c r="AC34" s="500"/>
    </row>
    <row r="35" spans="3:29" ht="20.100000000000001" customHeight="1">
      <c r="H35" s="374"/>
      <c r="I35" s="374"/>
      <c r="J35" s="868"/>
      <c r="K35" s="868"/>
      <c r="L35" s="475"/>
      <c r="M35" s="869"/>
      <c r="N35" s="554"/>
      <c r="O35" s="554"/>
      <c r="P35" s="869"/>
      <c r="Q35" s="554"/>
      <c r="R35" s="554"/>
      <c r="S35" s="554"/>
      <c r="T35" s="469"/>
      <c r="X35" s="500"/>
      <c r="Y35" s="500"/>
      <c r="Z35" s="500"/>
      <c r="AA35" s="500"/>
      <c r="AB35" s="500"/>
      <c r="AC35" s="500"/>
    </row>
    <row r="36" spans="3:29" ht="20.100000000000001" customHeight="1" thickBot="1">
      <c r="G36" s="470" t="s">
        <v>261</v>
      </c>
      <c r="K36" s="374"/>
      <c r="L36" s="475"/>
      <c r="M36" s="869"/>
      <c r="N36" s="554"/>
      <c r="O36" s="554"/>
      <c r="P36" s="869"/>
      <c r="Q36" s="554"/>
      <c r="R36" s="554"/>
      <c r="S36" s="554"/>
      <c r="T36" s="469"/>
      <c r="X36" s="500"/>
      <c r="Y36" s="500"/>
      <c r="Z36" s="500"/>
      <c r="AA36" s="500"/>
      <c r="AB36" s="500"/>
      <c r="AC36" s="500"/>
    </row>
    <row r="37" spans="3:29" ht="20.100000000000001" customHeight="1">
      <c r="G37" s="881" t="s">
        <v>163</v>
      </c>
      <c r="H37" s="882" t="s">
        <v>164</v>
      </c>
      <c r="I37" s="372" t="s">
        <v>165</v>
      </c>
      <c r="J37" s="883" t="s">
        <v>166</v>
      </c>
      <c r="K37" s="884" t="s">
        <v>167</v>
      </c>
      <c r="L37" s="475"/>
      <c r="M37" s="870" t="s">
        <v>168</v>
      </c>
      <c r="N37" s="871" t="s">
        <v>169</v>
      </c>
      <c r="O37" s="871" t="s">
        <v>170</v>
      </c>
      <c r="P37" s="872" t="s">
        <v>168</v>
      </c>
      <c r="Q37" s="872" t="s">
        <v>166</v>
      </c>
      <c r="R37" s="872" t="s">
        <v>169</v>
      </c>
      <c r="S37" s="873" t="s">
        <v>170</v>
      </c>
      <c r="T37" s="469" t="s">
        <v>171</v>
      </c>
      <c r="U37" s="499"/>
      <c r="V37" s="499"/>
      <c r="W37" s="500"/>
      <c r="X37" s="500"/>
      <c r="Y37" s="500"/>
      <c r="Z37" s="500"/>
      <c r="AA37" s="500"/>
      <c r="AB37" s="500"/>
      <c r="AC37" s="500"/>
    </row>
    <row r="38" spans="3:29" ht="20.100000000000001" customHeight="1">
      <c r="G38" s="885" t="s">
        <v>262</v>
      </c>
      <c r="H38" s="503"/>
      <c r="I38" s="504"/>
      <c r="J38" s="505"/>
      <c r="K38" s="886"/>
      <c r="L38" s="475"/>
      <c r="M38" s="874"/>
      <c r="N38" s="506"/>
      <c r="O38" s="506"/>
      <c r="P38" s="506"/>
      <c r="Q38" s="506"/>
      <c r="R38" s="506"/>
      <c r="S38" s="875"/>
      <c r="T38" s="469"/>
    </row>
    <row r="39" spans="3:29" ht="20.100000000000001" customHeight="1">
      <c r="G39" s="887" t="s">
        <v>263</v>
      </c>
      <c r="H39" s="378" t="s">
        <v>260</v>
      </c>
      <c r="I39" s="379"/>
      <c r="J39" s="380"/>
      <c r="K39" s="888">
        <v>335</v>
      </c>
      <c r="L39" s="475"/>
      <c r="M39" s="876"/>
      <c r="N39" s="507"/>
      <c r="O39" s="507"/>
      <c r="P39" s="507"/>
      <c r="Q39" s="507"/>
      <c r="R39" s="507"/>
      <c r="S39" s="877"/>
      <c r="T39" s="469"/>
    </row>
    <row r="40" spans="3:29" ht="20.100000000000001" customHeight="1">
      <c r="G40" s="887" t="s">
        <v>264</v>
      </c>
      <c r="H40" s="378" t="s">
        <v>176</v>
      </c>
      <c r="I40" s="379"/>
      <c r="J40" s="380"/>
      <c r="K40" s="888">
        <v>100</v>
      </c>
      <c r="L40" s="475"/>
      <c r="M40" s="876"/>
      <c r="N40" s="507"/>
      <c r="O40" s="507"/>
      <c r="P40" s="507"/>
      <c r="Q40" s="507"/>
      <c r="R40" s="507"/>
      <c r="S40" s="877"/>
      <c r="T40" s="469"/>
    </row>
    <row r="41" spans="3:29" ht="20.100000000000001" customHeight="1">
      <c r="G41" s="887" t="s">
        <v>265</v>
      </c>
      <c r="H41" s="378" t="s">
        <v>266</v>
      </c>
      <c r="I41" s="727"/>
      <c r="J41" s="380"/>
      <c r="K41" s="888">
        <v>865</v>
      </c>
      <c r="L41" s="475"/>
      <c r="M41" s="876"/>
      <c r="N41" s="507"/>
      <c r="O41" s="507"/>
      <c r="P41" s="507"/>
      <c r="Q41" s="507"/>
      <c r="R41" s="507"/>
      <c r="S41" s="877"/>
      <c r="T41" s="469"/>
    </row>
    <row r="42" spans="3:29" ht="20.100000000000001" customHeight="1" thickBot="1">
      <c r="G42" s="889" t="s">
        <v>267</v>
      </c>
      <c r="H42" s="890" t="s">
        <v>260</v>
      </c>
      <c r="I42" s="891"/>
      <c r="J42" s="892"/>
      <c r="K42" s="893">
        <v>1850</v>
      </c>
      <c r="L42" s="475"/>
      <c r="M42" s="878"/>
      <c r="N42" s="879"/>
      <c r="O42" s="879"/>
      <c r="P42" s="879"/>
      <c r="Q42" s="879"/>
      <c r="R42" s="879"/>
      <c r="S42" s="880"/>
      <c r="T42" s="469"/>
    </row>
    <row r="43" spans="3:29" ht="20.100000000000001" customHeight="1">
      <c r="H43" s="374"/>
      <c r="I43" s="868"/>
      <c r="J43" s="374"/>
      <c r="K43" s="374"/>
      <c r="L43" s="475"/>
      <c r="M43" s="513"/>
      <c r="N43" s="513"/>
      <c r="O43" s="513"/>
      <c r="P43" s="513"/>
      <c r="Q43" s="513"/>
      <c r="R43" s="513"/>
      <c r="S43" s="513"/>
      <c r="T43" s="469"/>
    </row>
    <row r="44" spans="3:29" ht="20.100000000000001" customHeight="1" thickBot="1">
      <c r="G44" s="470" t="s">
        <v>268</v>
      </c>
      <c r="H44" s="511"/>
      <c r="I44" s="512"/>
      <c r="J44" s="512"/>
      <c r="K44" s="734"/>
      <c r="L44" s="475"/>
      <c r="M44" s="469"/>
      <c r="N44" s="469"/>
      <c r="O44" s="469"/>
      <c r="P44" s="469"/>
      <c r="Q44" s="469"/>
      <c r="R44" s="469"/>
      <c r="S44" s="469"/>
      <c r="T44" s="469"/>
    </row>
    <row r="45" spans="3:29" ht="20.100000000000001" customHeight="1">
      <c r="G45" s="735" t="s">
        <v>163</v>
      </c>
      <c r="H45" s="736" t="s">
        <v>164</v>
      </c>
      <c r="I45" s="372" t="s">
        <v>165</v>
      </c>
      <c r="J45" s="373" t="s">
        <v>166</v>
      </c>
      <c r="K45" s="656" t="s">
        <v>167</v>
      </c>
      <c r="L45" s="475"/>
      <c r="M45" s="401" t="s">
        <v>168</v>
      </c>
      <c r="N45" s="401" t="s">
        <v>169</v>
      </c>
      <c r="O45" s="401" t="s">
        <v>170</v>
      </c>
      <c r="P45" s="375" t="s">
        <v>168</v>
      </c>
      <c r="Q45" s="375" t="s">
        <v>166</v>
      </c>
      <c r="R45" s="375" t="s">
        <v>169</v>
      </c>
      <c r="S45" s="375" t="s">
        <v>170</v>
      </c>
      <c r="T45" s="469"/>
    </row>
    <row r="46" spans="3:29" ht="30" customHeight="1">
      <c r="C46" s="354"/>
      <c r="D46" s="354"/>
      <c r="E46" s="354"/>
      <c r="G46" s="476" t="s">
        <v>269</v>
      </c>
      <c r="H46" s="477"/>
      <c r="I46" s="478"/>
      <c r="J46" s="479"/>
      <c r="K46" s="728"/>
      <c r="L46" s="469"/>
      <c r="M46" s="480"/>
      <c r="N46" s="480"/>
      <c r="O46" s="480"/>
      <c r="P46" s="480"/>
      <c r="Q46" s="480"/>
      <c r="R46" s="480"/>
      <c r="S46" s="480"/>
      <c r="T46" s="469"/>
    </row>
    <row r="47" spans="3:29" ht="20.100000000000001" customHeight="1">
      <c r="G47" s="491" t="s">
        <v>147</v>
      </c>
      <c r="H47" s="378" t="s">
        <v>176</v>
      </c>
      <c r="I47" s="483"/>
      <c r="J47" s="514"/>
      <c r="K47" s="733">
        <v>0</v>
      </c>
      <c r="L47" s="469"/>
      <c r="M47" s="394"/>
      <c r="N47" s="382"/>
      <c r="O47" s="359"/>
      <c r="P47" s="394"/>
      <c r="Q47" s="394"/>
      <c r="R47" s="382"/>
      <c r="S47" s="359"/>
      <c r="T47" s="469"/>
    </row>
    <row r="48" spans="3:29" ht="30" customHeight="1">
      <c r="G48" s="491" t="s">
        <v>148</v>
      </c>
      <c r="H48" s="378" t="s">
        <v>176</v>
      </c>
      <c r="I48" s="483"/>
      <c r="J48" s="514"/>
      <c r="K48" s="733">
        <v>20.670922040000001</v>
      </c>
      <c r="L48" s="469"/>
      <c r="M48" s="394"/>
      <c r="N48" s="382"/>
      <c r="O48" s="359"/>
      <c r="P48" s="394"/>
      <c r="Q48" s="394"/>
      <c r="R48" s="382"/>
      <c r="S48" s="359"/>
      <c r="T48" s="469"/>
    </row>
    <row r="49" spans="7:26" ht="20.100000000000001" customHeight="1">
      <c r="G49" s="491" t="s">
        <v>129</v>
      </c>
      <c r="H49" s="378" t="s">
        <v>176</v>
      </c>
      <c r="I49" s="483"/>
      <c r="J49" s="514"/>
      <c r="K49" s="733">
        <v>9.0954578900000005</v>
      </c>
      <c r="L49" s="469"/>
      <c r="M49" s="394"/>
      <c r="N49" s="382"/>
      <c r="O49" s="359"/>
      <c r="P49" s="394"/>
      <c r="Q49" s="394"/>
      <c r="R49" s="382"/>
      <c r="S49" s="359"/>
      <c r="T49" s="469"/>
    </row>
    <row r="50" spans="7:26" ht="20.100000000000001" customHeight="1">
      <c r="G50" s="491" t="s">
        <v>270</v>
      </c>
      <c r="H50" s="378" t="s">
        <v>176</v>
      </c>
      <c r="I50" s="483"/>
      <c r="J50" s="514"/>
      <c r="K50" s="733">
        <v>62.09</v>
      </c>
      <c r="L50" s="469"/>
      <c r="M50" s="394"/>
      <c r="N50" s="382"/>
      <c r="O50" s="359"/>
      <c r="P50" s="394"/>
      <c r="Q50" s="394"/>
      <c r="R50" s="382"/>
      <c r="S50" s="359"/>
      <c r="T50" s="469"/>
    </row>
    <row r="51" spans="7:26" ht="20.100000000000001" customHeight="1">
      <c r="G51" s="491" t="s">
        <v>271</v>
      </c>
      <c r="H51" s="378" t="s">
        <v>176</v>
      </c>
      <c r="I51" s="483"/>
      <c r="J51" s="514"/>
      <c r="K51" s="733">
        <v>4.9000000000000004</v>
      </c>
      <c r="L51" s="469"/>
      <c r="M51" s="394"/>
      <c r="N51" s="382"/>
      <c r="O51" s="359"/>
      <c r="P51" s="394"/>
      <c r="Q51" s="394"/>
      <c r="R51" s="382"/>
      <c r="S51" s="359"/>
      <c r="T51" s="469"/>
    </row>
    <row r="52" spans="7:26" ht="20.100000000000001" customHeight="1">
      <c r="G52" s="491" t="s">
        <v>109</v>
      </c>
      <c r="H52" s="378" t="s">
        <v>176</v>
      </c>
      <c r="I52" s="483"/>
      <c r="J52" s="514"/>
      <c r="K52" s="733">
        <v>0.31523732599999998</v>
      </c>
      <c r="L52" s="469"/>
      <c r="M52" s="394"/>
      <c r="N52" s="382"/>
      <c r="O52" s="359"/>
      <c r="P52" s="394"/>
      <c r="Q52" s="394"/>
      <c r="R52" s="382"/>
      <c r="S52" s="359"/>
      <c r="T52" s="469"/>
    </row>
    <row r="53" spans="7:26" ht="20.100000000000001" customHeight="1">
      <c r="G53" s="491" t="s">
        <v>272</v>
      </c>
      <c r="H53" s="378" t="s">
        <v>176</v>
      </c>
      <c r="I53" s="492">
        <f>100-SUM(I47:I52)+I50</f>
        <v>100</v>
      </c>
      <c r="J53" s="515">
        <f>100-SUM(J47:J52)+J50</f>
        <v>100</v>
      </c>
      <c r="K53" s="730">
        <v>65.018382743999993</v>
      </c>
      <c r="L53" s="469"/>
      <c r="M53" s="509"/>
      <c r="N53" s="509"/>
      <c r="O53" s="516"/>
      <c r="P53" s="509"/>
      <c r="Q53" s="509"/>
      <c r="R53" s="509"/>
      <c r="S53" s="516"/>
      <c r="T53" s="469"/>
    </row>
    <row r="54" spans="7:26" ht="20.100000000000001" customHeight="1">
      <c r="G54" s="517" t="s">
        <v>273</v>
      </c>
      <c r="H54" s="391" t="s">
        <v>176</v>
      </c>
      <c r="I54" s="392"/>
      <c r="J54" s="510"/>
      <c r="K54" s="395"/>
      <c r="L54" s="469"/>
      <c r="M54" s="403"/>
      <c r="N54" s="398"/>
      <c r="O54" s="360"/>
      <c r="P54" s="403"/>
      <c r="Q54" s="403"/>
      <c r="R54" s="398"/>
      <c r="S54" s="360"/>
      <c r="T54" s="469"/>
    </row>
    <row r="55" spans="7:26" ht="20.100000000000001" customHeight="1">
      <c r="G55" s="517" t="s">
        <v>274</v>
      </c>
      <c r="H55" s="391" t="s">
        <v>176</v>
      </c>
      <c r="I55" s="518"/>
      <c r="J55" s="519"/>
      <c r="K55" s="395"/>
      <c r="L55" s="469"/>
      <c r="M55" s="403"/>
      <c r="N55" s="398"/>
      <c r="O55" s="360"/>
      <c r="P55" s="403"/>
      <c r="Q55" s="403"/>
      <c r="R55" s="398"/>
      <c r="S55" s="360"/>
      <c r="T55" s="469"/>
    </row>
    <row r="56" spans="7:26" ht="30" customHeight="1">
      <c r="G56" s="517" t="s">
        <v>275</v>
      </c>
      <c r="H56" s="391" t="s">
        <v>176</v>
      </c>
      <c r="I56" s="518"/>
      <c r="J56" s="519"/>
      <c r="K56" s="395"/>
      <c r="L56" s="469"/>
      <c r="M56" s="403"/>
      <c r="N56" s="398"/>
      <c r="O56" s="360"/>
      <c r="P56" s="403"/>
      <c r="Q56" s="403"/>
      <c r="R56" s="398"/>
      <c r="S56" s="360"/>
      <c r="T56" s="469"/>
      <c r="U56" s="513"/>
      <c r="V56" s="513"/>
      <c r="W56" s="513"/>
      <c r="X56" s="513"/>
      <c r="Y56" s="513"/>
      <c r="Z56" s="513"/>
    </row>
    <row r="57" spans="7:26" ht="20.100000000000001" customHeight="1">
      <c r="G57" s="517" t="s">
        <v>276</v>
      </c>
      <c r="H57" s="391" t="s">
        <v>176</v>
      </c>
      <c r="I57" s="518"/>
      <c r="J57" s="519"/>
      <c r="K57" s="395"/>
      <c r="L57" s="469"/>
      <c r="M57" s="403"/>
      <c r="N57" s="398"/>
      <c r="O57" s="360"/>
      <c r="P57" s="403"/>
      <c r="Q57" s="403"/>
      <c r="R57" s="398"/>
      <c r="S57" s="360"/>
      <c r="T57" s="469"/>
      <c r="U57" s="474"/>
    </row>
    <row r="58" spans="7:26" ht="20.100000000000001" customHeight="1">
      <c r="G58" s="517" t="s">
        <v>277</v>
      </c>
      <c r="H58" s="391" t="s">
        <v>176</v>
      </c>
      <c r="I58" s="492">
        <f>100-SUM(I54:I57)</f>
        <v>100</v>
      </c>
      <c r="J58" s="515">
        <f>100-SUM(J54:J57)</f>
        <v>100</v>
      </c>
      <c r="K58" s="730"/>
      <c r="L58" s="475"/>
      <c r="M58" s="406"/>
      <c r="N58" s="520"/>
      <c r="O58" s="516"/>
      <c r="P58" s="406"/>
      <c r="Q58" s="406"/>
      <c r="R58" s="520"/>
      <c r="S58" s="516"/>
      <c r="T58" s="475"/>
    </row>
    <row r="59" spans="7:26" ht="20.100000000000001" customHeight="1">
      <c r="G59" s="476" t="s">
        <v>278</v>
      </c>
      <c r="H59" s="477"/>
      <c r="I59" s="478"/>
      <c r="J59" s="479"/>
      <c r="K59" s="728"/>
      <c r="L59" s="469"/>
      <c r="M59" s="480"/>
      <c r="N59" s="480"/>
      <c r="O59" s="480"/>
      <c r="P59" s="480"/>
      <c r="Q59" s="480"/>
      <c r="R59" s="480"/>
      <c r="S59" s="480"/>
      <c r="T59" s="469"/>
    </row>
    <row r="60" spans="7:26" ht="20.100000000000001" customHeight="1">
      <c r="G60" s="491" t="s">
        <v>147</v>
      </c>
      <c r="H60" s="378" t="s">
        <v>176</v>
      </c>
      <c r="I60" s="379"/>
      <c r="J60" s="380"/>
      <c r="K60" s="733">
        <v>0</v>
      </c>
      <c r="L60" s="469"/>
      <c r="M60" s="394"/>
      <c r="N60" s="382"/>
      <c r="O60" s="359"/>
      <c r="P60" s="394"/>
      <c r="Q60" s="394"/>
      <c r="R60" s="382"/>
      <c r="S60" s="359"/>
      <c r="T60" s="469"/>
    </row>
    <row r="61" spans="7:26" ht="20.100000000000001" customHeight="1">
      <c r="G61" s="491" t="s">
        <v>148</v>
      </c>
      <c r="H61" s="378" t="s">
        <v>176</v>
      </c>
      <c r="I61" s="379"/>
      <c r="J61" s="380"/>
      <c r="K61" s="733">
        <v>12.37958289</v>
      </c>
      <c r="L61" s="469"/>
      <c r="M61" s="394"/>
      <c r="N61" s="382"/>
      <c r="O61" s="359"/>
      <c r="P61" s="394"/>
      <c r="Q61" s="394"/>
      <c r="R61" s="382"/>
      <c r="S61" s="359"/>
      <c r="T61" s="469"/>
    </row>
    <row r="62" spans="7:26" ht="20.100000000000001" customHeight="1">
      <c r="G62" s="491" t="s">
        <v>129</v>
      </c>
      <c r="H62" s="378" t="s">
        <v>176</v>
      </c>
      <c r="I62" s="379"/>
      <c r="J62" s="380"/>
      <c r="K62" s="733">
        <v>37.94</v>
      </c>
      <c r="L62" s="469"/>
      <c r="M62" s="394"/>
      <c r="N62" s="382"/>
      <c r="O62" s="359"/>
      <c r="P62" s="394"/>
      <c r="Q62" s="394"/>
      <c r="R62" s="382"/>
      <c r="S62" s="359"/>
      <c r="T62" s="469"/>
    </row>
    <row r="63" spans="7:26" ht="20.100000000000001" customHeight="1">
      <c r="G63" s="491" t="s">
        <v>270</v>
      </c>
      <c r="H63" s="378" t="s">
        <v>176</v>
      </c>
      <c r="I63" s="379"/>
      <c r="J63" s="380"/>
      <c r="K63" s="733">
        <v>25.42</v>
      </c>
      <c r="L63" s="469"/>
      <c r="M63" s="394"/>
      <c r="N63" s="382"/>
      <c r="O63" s="359"/>
      <c r="P63" s="394"/>
      <c r="Q63" s="394"/>
      <c r="R63" s="382"/>
      <c r="S63" s="359"/>
      <c r="T63" s="469"/>
    </row>
    <row r="64" spans="7:26" ht="20.100000000000001" customHeight="1">
      <c r="G64" s="491" t="s">
        <v>271</v>
      </c>
      <c r="H64" s="378" t="s">
        <v>176</v>
      </c>
      <c r="I64" s="379"/>
      <c r="J64" s="380"/>
      <c r="K64" s="733">
        <v>5.41</v>
      </c>
      <c r="L64" s="469"/>
      <c r="M64" s="394"/>
      <c r="N64" s="382"/>
      <c r="O64" s="359"/>
      <c r="P64" s="394"/>
      <c r="Q64" s="394"/>
      <c r="R64" s="382"/>
      <c r="S64" s="359"/>
      <c r="T64" s="469"/>
    </row>
    <row r="65" spans="7:21" ht="20.100000000000001" customHeight="1">
      <c r="G65" s="491" t="s">
        <v>279</v>
      </c>
      <c r="H65" s="378" t="s">
        <v>176</v>
      </c>
      <c r="I65" s="379"/>
      <c r="J65" s="380"/>
      <c r="K65" s="733">
        <v>8.6999999999999993</v>
      </c>
      <c r="L65" s="469"/>
      <c r="M65" s="394"/>
      <c r="N65" s="382"/>
      <c r="O65" s="359"/>
      <c r="P65" s="394"/>
      <c r="Q65" s="394"/>
      <c r="R65" s="382"/>
      <c r="S65" s="359"/>
      <c r="T65" s="469"/>
    </row>
    <row r="66" spans="7:21" ht="20.100000000000001" customHeight="1">
      <c r="G66" s="491" t="s">
        <v>272</v>
      </c>
      <c r="H66" s="378" t="s">
        <v>176</v>
      </c>
      <c r="I66" s="492">
        <f>100-SUM(I60:I65)+I63</f>
        <v>100</v>
      </c>
      <c r="J66" s="515">
        <f>100-SUM(J60:J65)+J63</f>
        <v>100</v>
      </c>
      <c r="K66" s="730">
        <v>35.570417110000001</v>
      </c>
      <c r="L66" s="469"/>
      <c r="M66" s="509"/>
      <c r="N66" s="509"/>
      <c r="O66" s="516"/>
      <c r="P66" s="509"/>
      <c r="Q66" s="509"/>
      <c r="R66" s="509"/>
      <c r="S66" s="516"/>
      <c r="T66" s="469"/>
    </row>
    <row r="67" spans="7:21" ht="20.100000000000001" customHeight="1">
      <c r="G67" s="517" t="s">
        <v>273</v>
      </c>
      <c r="H67" s="391" t="s">
        <v>176</v>
      </c>
      <c r="I67" s="392"/>
      <c r="J67" s="510"/>
      <c r="K67" s="395"/>
      <c r="L67" s="469"/>
      <c r="M67" s="403"/>
      <c r="N67" s="398"/>
      <c r="O67" s="360"/>
      <c r="P67" s="403"/>
      <c r="Q67" s="403"/>
      <c r="R67" s="398"/>
      <c r="S67" s="360"/>
      <c r="T67" s="469"/>
    </row>
    <row r="68" spans="7:21" ht="20.100000000000001" customHeight="1">
      <c r="G68" s="517" t="s">
        <v>274</v>
      </c>
      <c r="H68" s="391" t="s">
        <v>176</v>
      </c>
      <c r="I68" s="518"/>
      <c r="J68" s="519"/>
      <c r="K68" s="395"/>
      <c r="L68" s="469"/>
      <c r="M68" s="403"/>
      <c r="N68" s="398"/>
      <c r="O68" s="360"/>
      <c r="P68" s="403"/>
      <c r="Q68" s="403"/>
      <c r="R68" s="398"/>
      <c r="S68" s="360"/>
      <c r="T68" s="469"/>
    </row>
    <row r="69" spans="7:21" ht="20.100000000000001" customHeight="1">
      <c r="G69" s="517" t="s">
        <v>275</v>
      </c>
      <c r="H69" s="391" t="s">
        <v>176</v>
      </c>
      <c r="I69" s="518"/>
      <c r="J69" s="519"/>
      <c r="K69" s="395"/>
      <c r="L69" s="469"/>
      <c r="M69" s="403"/>
      <c r="N69" s="398"/>
      <c r="O69" s="360"/>
      <c r="P69" s="403"/>
      <c r="Q69" s="403"/>
      <c r="R69" s="398"/>
      <c r="S69" s="360"/>
      <c r="T69" s="469"/>
    </row>
    <row r="70" spans="7:21" ht="20.100000000000001" customHeight="1">
      <c r="G70" s="517" t="s">
        <v>276</v>
      </c>
      <c r="H70" s="391" t="s">
        <v>176</v>
      </c>
      <c r="I70" s="518"/>
      <c r="J70" s="519"/>
      <c r="K70" s="395"/>
      <c r="L70" s="469"/>
      <c r="M70" s="403"/>
      <c r="N70" s="398"/>
      <c r="O70" s="360"/>
      <c r="P70" s="403"/>
      <c r="Q70" s="403"/>
      <c r="R70" s="398"/>
      <c r="S70" s="360"/>
      <c r="T70" s="469"/>
    </row>
    <row r="71" spans="7:21" ht="20.100000000000001" customHeight="1">
      <c r="G71" s="517" t="s">
        <v>277</v>
      </c>
      <c r="H71" s="391" t="s">
        <v>176</v>
      </c>
      <c r="I71" s="492">
        <f>100-SUM(I67:I70)</f>
        <v>100</v>
      </c>
      <c r="J71" s="515">
        <f>100-SUM(J67:J70)</f>
        <v>100</v>
      </c>
      <c r="K71" s="730"/>
      <c r="L71" s="475"/>
      <c r="M71" s="406"/>
      <c r="N71" s="520"/>
      <c r="O71" s="516"/>
      <c r="P71" s="406"/>
      <c r="Q71" s="406"/>
      <c r="R71" s="520"/>
      <c r="S71" s="516"/>
      <c r="T71" s="475"/>
    </row>
    <row r="72" spans="7:21" ht="20.100000000000001" customHeight="1">
      <c r="G72" s="476" t="s">
        <v>280</v>
      </c>
      <c r="H72" s="477"/>
      <c r="I72" s="478"/>
      <c r="J72" s="479"/>
      <c r="K72" s="728"/>
      <c r="L72" s="469"/>
      <c r="M72" s="480"/>
      <c r="N72" s="480"/>
      <c r="O72" s="480"/>
      <c r="P72" s="480"/>
      <c r="Q72" s="480"/>
      <c r="R72" s="480"/>
      <c r="S72" s="480"/>
      <c r="T72" s="469"/>
    </row>
    <row r="73" spans="7:21" ht="20.100000000000001" customHeight="1">
      <c r="G73" s="491" t="s">
        <v>147</v>
      </c>
      <c r="H73" s="378" t="s">
        <v>176</v>
      </c>
      <c r="I73" s="379"/>
      <c r="J73" s="380"/>
      <c r="K73" s="733">
        <v>2.0670000000000002</v>
      </c>
      <c r="L73" s="469"/>
      <c r="M73" s="394"/>
      <c r="N73" s="382"/>
      <c r="O73" s="359"/>
      <c r="P73" s="394"/>
      <c r="Q73" s="394"/>
      <c r="R73" s="382"/>
      <c r="S73" s="359"/>
      <c r="T73" s="469"/>
    </row>
    <row r="74" spans="7:21" ht="20.100000000000001" customHeight="1">
      <c r="G74" s="491" t="s">
        <v>148</v>
      </c>
      <c r="H74" s="378" t="s">
        <v>176</v>
      </c>
      <c r="I74" s="483"/>
      <c r="J74" s="514"/>
      <c r="K74" s="733">
        <v>0</v>
      </c>
      <c r="L74" s="469"/>
      <c r="M74" s="394"/>
      <c r="N74" s="382"/>
      <c r="O74" s="359"/>
      <c r="P74" s="394"/>
      <c r="Q74" s="394"/>
      <c r="R74" s="382"/>
      <c r="S74" s="359"/>
      <c r="T74" s="469"/>
    </row>
    <row r="75" spans="7:21" ht="20.100000000000001" customHeight="1">
      <c r="G75" s="491" t="s">
        <v>129</v>
      </c>
      <c r="H75" s="378" t="s">
        <v>176</v>
      </c>
      <c r="I75" s="483"/>
      <c r="J75" s="514"/>
      <c r="K75" s="733">
        <v>95.06661147545195</v>
      </c>
      <c r="L75" s="469"/>
      <c r="M75" s="394"/>
      <c r="N75" s="382"/>
      <c r="O75" s="359"/>
      <c r="P75" s="394"/>
      <c r="Q75" s="394"/>
      <c r="R75" s="382"/>
      <c r="S75" s="359"/>
      <c r="T75" s="469"/>
    </row>
    <row r="76" spans="7:21" ht="20.100000000000001" customHeight="1">
      <c r="G76" s="491" t="s">
        <v>279</v>
      </c>
      <c r="H76" s="378" t="s">
        <v>176</v>
      </c>
      <c r="I76" s="483"/>
      <c r="J76" s="514"/>
      <c r="K76" s="733">
        <v>0</v>
      </c>
      <c r="L76" s="469"/>
      <c r="M76" s="394"/>
      <c r="N76" s="382"/>
      <c r="O76" s="359"/>
      <c r="P76" s="394"/>
      <c r="Q76" s="394"/>
      <c r="R76" s="382"/>
      <c r="S76" s="359"/>
      <c r="T76" s="469"/>
    </row>
    <row r="77" spans="7:21" ht="20.100000000000001" customHeight="1">
      <c r="G77" s="491" t="s">
        <v>272</v>
      </c>
      <c r="H77" s="378" t="s">
        <v>176</v>
      </c>
      <c r="I77" s="492">
        <f>100-SUM(I73:I76)</f>
        <v>100</v>
      </c>
      <c r="J77" s="515">
        <f>100-SUM(J73:J76)</f>
        <v>100</v>
      </c>
      <c r="K77" s="730">
        <v>2.8663885245480429</v>
      </c>
      <c r="L77" s="469"/>
      <c r="M77" s="482"/>
      <c r="N77" s="482"/>
      <c r="O77" s="482"/>
      <c r="P77" s="482"/>
      <c r="Q77" s="482"/>
      <c r="R77" s="482"/>
      <c r="S77" s="482"/>
      <c r="T77" s="469"/>
      <c r="U77" s="361"/>
    </row>
    <row r="78" spans="7:21" ht="20.100000000000001" customHeight="1">
      <c r="G78" s="517" t="s">
        <v>281</v>
      </c>
      <c r="H78" s="391" t="s">
        <v>176</v>
      </c>
      <c r="I78" s="392"/>
      <c r="J78" s="510"/>
      <c r="K78" s="395"/>
      <c r="L78" s="469"/>
      <c r="M78" s="403"/>
      <c r="N78" s="398"/>
      <c r="O78" s="360"/>
      <c r="P78" s="403"/>
      <c r="Q78" s="403"/>
      <c r="R78" s="398"/>
      <c r="S78" s="360"/>
      <c r="T78" s="469"/>
    </row>
    <row r="79" spans="7:21" ht="20.100000000000001" customHeight="1">
      <c r="G79" s="517" t="s">
        <v>282</v>
      </c>
      <c r="H79" s="391" t="s">
        <v>176</v>
      </c>
      <c r="I79" s="518"/>
      <c r="J79" s="519"/>
      <c r="K79" s="395"/>
      <c r="L79" s="469"/>
      <c r="M79" s="403"/>
      <c r="N79" s="398"/>
      <c r="O79" s="360"/>
      <c r="P79" s="403"/>
      <c r="Q79" s="403"/>
      <c r="R79" s="398"/>
      <c r="S79" s="360"/>
      <c r="T79" s="469"/>
    </row>
    <row r="80" spans="7:21" ht="20.100000000000001" customHeight="1">
      <c r="G80" s="517" t="s">
        <v>283</v>
      </c>
      <c r="H80" s="391" t="s">
        <v>176</v>
      </c>
      <c r="I80" s="518"/>
      <c r="J80" s="519"/>
      <c r="K80" s="395"/>
      <c r="L80" s="469"/>
      <c r="M80" s="403"/>
      <c r="N80" s="398"/>
      <c r="O80" s="360"/>
      <c r="P80" s="403"/>
      <c r="Q80" s="403"/>
      <c r="R80" s="398"/>
      <c r="S80" s="360"/>
      <c r="T80" s="469"/>
    </row>
    <row r="81" spans="7:21" ht="20.100000000000001" customHeight="1">
      <c r="G81" s="517" t="s">
        <v>284</v>
      </c>
      <c r="H81" s="391" t="s">
        <v>176</v>
      </c>
      <c r="I81" s="492">
        <f>100-SUM(I78:I80)</f>
        <v>100</v>
      </c>
      <c r="J81" s="515">
        <f>100-SUM(J78:J80)</f>
        <v>100</v>
      </c>
      <c r="K81" s="730"/>
      <c r="L81" s="469"/>
      <c r="M81" s="403"/>
      <c r="N81" s="398"/>
      <c r="O81" s="360"/>
      <c r="P81" s="403"/>
      <c r="Q81" s="403"/>
      <c r="R81" s="398"/>
      <c r="S81" s="360"/>
      <c r="T81" s="469"/>
    </row>
    <row r="82" spans="7:21" ht="20.100000000000001" customHeight="1">
      <c r="G82" s="476" t="s">
        <v>285</v>
      </c>
      <c r="H82" s="477"/>
      <c r="I82" s="478"/>
      <c r="J82" s="479"/>
      <c r="K82" s="728"/>
      <c r="L82" s="469"/>
      <c r="M82" s="480"/>
      <c r="N82" s="480"/>
      <c r="O82" s="480"/>
      <c r="P82" s="480"/>
      <c r="Q82" s="480"/>
      <c r="R82" s="480"/>
      <c r="S82" s="480"/>
      <c r="T82" s="469"/>
    </row>
    <row r="83" spans="7:21" ht="20.100000000000001" customHeight="1">
      <c r="G83" s="491" t="s">
        <v>129</v>
      </c>
      <c r="H83" s="378" t="s">
        <v>176</v>
      </c>
      <c r="I83" s="379"/>
      <c r="J83" s="380"/>
      <c r="K83" s="381">
        <v>100</v>
      </c>
      <c r="L83" s="469"/>
      <c r="M83" s="394"/>
      <c r="N83" s="382"/>
      <c r="O83" s="359"/>
      <c r="P83" s="394"/>
      <c r="Q83" s="394"/>
      <c r="R83" s="382"/>
      <c r="S83" s="359"/>
      <c r="T83" s="469"/>
    </row>
    <row r="84" spans="7:21" ht="20.100000000000001" customHeight="1" thickBot="1">
      <c r="G84" s="491" t="s">
        <v>286</v>
      </c>
      <c r="H84" s="378" t="s">
        <v>176</v>
      </c>
      <c r="I84" s="521">
        <f>100-SUM(I83)</f>
        <v>100</v>
      </c>
      <c r="J84" s="508">
        <f>100-SUM(J83)</f>
        <v>100</v>
      </c>
      <c r="K84" s="732">
        <f>100-SUM(K83)</f>
        <v>0</v>
      </c>
      <c r="L84" s="475"/>
      <c r="M84" s="522"/>
      <c r="N84" s="522"/>
      <c r="O84" s="522"/>
      <c r="P84" s="522"/>
      <c r="Q84" s="522"/>
      <c r="R84" s="522"/>
      <c r="S84" s="522"/>
      <c r="T84" s="475"/>
    </row>
    <row r="85" spans="7:21" ht="20.100000000000001" customHeight="1">
      <c r="K85" s="617"/>
      <c r="L85" s="475"/>
      <c r="M85" s="469"/>
      <c r="N85" s="469"/>
      <c r="O85" s="469"/>
      <c r="P85" s="469"/>
      <c r="Q85" s="469"/>
      <c r="R85" s="469"/>
      <c r="S85" s="469"/>
      <c r="T85" s="475"/>
    </row>
    <row r="86" spans="7:21" ht="20.100000000000001" customHeight="1">
      <c r="K86" s="617"/>
      <c r="L86" s="475"/>
      <c r="M86" s="469"/>
      <c r="N86" s="469"/>
      <c r="O86" s="469"/>
      <c r="P86" s="469"/>
      <c r="Q86" s="356"/>
      <c r="R86" s="469"/>
      <c r="S86" s="469"/>
      <c r="T86" s="475"/>
    </row>
    <row r="87" spans="7:21" ht="20.100000000000001" customHeight="1">
      <c r="K87" s="617"/>
      <c r="L87" s="475"/>
      <c r="M87" s="469"/>
      <c r="N87" s="469"/>
      <c r="O87" s="469"/>
      <c r="P87" s="469"/>
      <c r="Q87" s="469"/>
      <c r="R87" s="469"/>
      <c r="S87" s="469" t="s">
        <v>171</v>
      </c>
      <c r="T87" s="475"/>
    </row>
    <row r="88" spans="7:21" ht="20.100000000000001" customHeight="1">
      <c r="L88" s="475"/>
      <c r="R88" s="469" t="s">
        <v>171</v>
      </c>
      <c r="T88" s="475"/>
    </row>
    <row r="89" spans="7:21" ht="20.100000000000001" customHeight="1">
      <c r="L89" s="475"/>
      <c r="S89" s="469" t="s">
        <v>171</v>
      </c>
      <c r="T89" s="475"/>
    </row>
    <row r="90" spans="7:21" ht="20.100000000000001" customHeight="1">
      <c r="L90" s="475"/>
      <c r="S90" s="469" t="s">
        <v>171</v>
      </c>
      <c r="T90" s="475"/>
    </row>
    <row r="91" spans="7:21" ht="20.100000000000001" customHeight="1">
      <c r="L91" s="475"/>
      <c r="T91" s="475"/>
    </row>
    <row r="92" spans="7:21" ht="20.100000000000001" customHeight="1">
      <c r="L92" s="475"/>
      <c r="T92" s="475"/>
    </row>
    <row r="93" spans="7:21" ht="20.100000000000001" customHeight="1">
      <c r="L93" s="475"/>
      <c r="T93" s="475"/>
    </row>
    <row r="94" spans="7:21" ht="20.100000000000001" customHeight="1">
      <c r="L94" s="475"/>
      <c r="T94" s="475"/>
    </row>
    <row r="95" spans="7:21" ht="20.100000000000001" customHeight="1">
      <c r="L95" s="469"/>
      <c r="T95" s="469"/>
    </row>
    <row r="96" spans="7:21" ht="20.100000000000001" customHeight="1">
      <c r="L96" s="469"/>
      <c r="T96" s="469"/>
      <c r="U96" s="594"/>
    </row>
    <row r="97" spans="12:20" ht="20.100000000000001" customHeight="1">
      <c r="L97" s="469"/>
      <c r="T97" s="469" t="s">
        <v>171</v>
      </c>
    </row>
    <row r="98" spans="12:20" ht="25.9">
      <c r="L98" s="469"/>
      <c r="T98" s="469" t="s">
        <v>171</v>
      </c>
    </row>
    <row r="99" spans="12:20" ht="25.9">
      <c r="L99" s="469"/>
      <c r="T99" s="469"/>
    </row>
    <row r="100" spans="12:20" ht="14.45"/>
    <row r="101" spans="12:20" ht="14.45"/>
    <row r="102" spans="12:20" ht="14.45"/>
    <row r="103" spans="12:20" ht="25.9">
      <c r="T103" s="469" t="s">
        <v>171</v>
      </c>
    </row>
    <row r="104" spans="12:20" ht="25.9">
      <c r="T104" s="469" t="s">
        <v>171</v>
      </c>
    </row>
    <row r="105" spans="12:20" ht="25.9">
      <c r="T105" s="469" t="s">
        <v>171</v>
      </c>
    </row>
    <row r="106" spans="12:20" ht="25.9">
      <c r="T106" s="469" t="s">
        <v>171</v>
      </c>
    </row>
    <row r="107" spans="12:20" ht="25.9">
      <c r="T107" s="469" t="s">
        <v>171</v>
      </c>
    </row>
    <row r="108" spans="12:20" ht="25.9">
      <c r="T108" s="469" t="s">
        <v>171</v>
      </c>
    </row>
    <row r="109" spans="12:20" ht="25.9">
      <c r="T109" s="469" t="s">
        <v>171</v>
      </c>
    </row>
    <row r="110" spans="12:20" ht="25.9">
      <c r="T110" s="469" t="s">
        <v>171</v>
      </c>
    </row>
    <row r="111" spans="12:20" ht="25.9">
      <c r="T111" s="469" t="s">
        <v>171</v>
      </c>
    </row>
    <row r="112" spans="12:20" ht="25.9">
      <c r="T112" s="469" t="s">
        <v>171</v>
      </c>
    </row>
    <row r="113" spans="20:20" ht="25.9">
      <c r="T113" s="469" t="s">
        <v>171</v>
      </c>
    </row>
    <row r="114" spans="20:20" ht="25.9">
      <c r="T114" s="469" t="s">
        <v>171</v>
      </c>
    </row>
  </sheetData>
  <mergeCells count="1">
    <mergeCell ref="C4:D5"/>
  </mergeCells>
  <phoneticPr fontId="65" type="noConversion"/>
  <dataValidations count="1">
    <dataValidation type="decimal" operator="greaterThanOrEqual" allowBlank="1" showInputMessage="1" showErrorMessage="1" errorTitle="Error" error="Negative number is not allowed" sqref="I42:K43 J12:J13 I12:I14" xr:uid="{00000000-0002-0000-0600-000000000000}">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50"/>
  </sheetPr>
  <dimension ref="A1:Y40"/>
  <sheetViews>
    <sheetView showGridLines="0" zoomScale="80" zoomScaleNormal="80" workbookViewId="0">
      <selection activeCell="K15" sqref="K15"/>
    </sheetView>
  </sheetViews>
  <sheetFormatPr defaultColWidth="9.140625" defaultRowHeight="14.45"/>
  <cols>
    <col min="1" max="1" width="3.7109375" customWidth="1"/>
    <col min="2" max="2" width="3.5703125" customWidth="1"/>
    <col min="3" max="3" width="10.5703125" customWidth="1"/>
    <col min="4" max="4" width="29.85546875" bestFit="1" customWidth="1"/>
    <col min="5" max="5" width="3.5703125" customWidth="1"/>
    <col min="6" max="6" width="3.7109375" style="361" customWidth="1"/>
    <col min="7" max="7" width="40.5703125" style="399" customWidth="1"/>
    <col min="8" max="8" width="15.5703125" style="361" customWidth="1"/>
    <col min="9" max="9" width="17.7109375" style="361" customWidth="1"/>
    <col min="10" max="10" width="15.5703125" style="361" customWidth="1"/>
    <col min="11" max="11" width="15.5703125" style="598" customWidth="1"/>
    <col min="12" max="12" width="5.7109375" style="361" customWidth="1"/>
    <col min="13" max="13" width="20.5703125" style="361" customWidth="1"/>
    <col min="14" max="14" width="10.5703125" style="361" customWidth="1"/>
    <col min="15" max="15" width="5.7109375" style="361" customWidth="1"/>
    <col min="16" max="16" width="20.5703125" style="361" customWidth="1"/>
    <col min="17" max="17" width="10.5703125" style="361" customWidth="1"/>
    <col min="18" max="18" width="10.7109375" style="361" customWidth="1"/>
    <col min="19" max="19" width="5.5703125" style="361" customWidth="1"/>
    <col min="20" max="20" width="5.7109375" style="361" customWidth="1"/>
    <col min="21" max="21" width="19.85546875" style="361" bestFit="1" customWidth="1"/>
    <col min="22" max="22" width="34.42578125" style="361" customWidth="1"/>
    <col min="23" max="23" width="16.5703125" style="361" customWidth="1"/>
    <col min="24" max="16384" width="9.140625" style="361"/>
  </cols>
  <sheetData>
    <row r="1" spans="2:25" ht="50.1" customHeight="1" thickBot="1">
      <c r="G1" s="369" t="s">
        <v>287</v>
      </c>
      <c r="H1" s="369"/>
      <c r="I1" s="369"/>
      <c r="J1" s="369"/>
      <c r="K1" s="369"/>
      <c r="L1" s="369"/>
      <c r="M1" s="369"/>
      <c r="N1" s="369"/>
      <c r="O1" s="369"/>
      <c r="P1" s="369"/>
      <c r="Q1" s="369"/>
      <c r="R1" s="369"/>
      <c r="S1" s="369"/>
    </row>
    <row r="2" spans="2:25" ht="20.100000000000001" customHeight="1">
      <c r="B2" s="647"/>
      <c r="C2" s="917" t="s">
        <v>162</v>
      </c>
      <c r="D2" s="917"/>
      <c r="E2" s="657"/>
      <c r="G2" s="735" t="s">
        <v>163</v>
      </c>
      <c r="H2" s="736" t="s">
        <v>164</v>
      </c>
      <c r="I2" s="372" t="s">
        <v>165</v>
      </c>
      <c r="J2" s="373" t="s">
        <v>166</v>
      </c>
      <c r="K2" s="656"/>
      <c r="M2" s="401"/>
      <c r="N2" s="401" t="s">
        <v>169</v>
      </c>
      <c r="O2" s="401" t="s">
        <v>170</v>
      </c>
      <c r="P2" s="375" t="s">
        <v>168</v>
      </c>
      <c r="Q2" s="375" t="s">
        <v>166</v>
      </c>
      <c r="R2" s="375" t="s">
        <v>169</v>
      </c>
      <c r="S2" s="375" t="s">
        <v>170</v>
      </c>
      <c r="X2" s="368"/>
      <c r="Y2" s="376" t="s">
        <v>181</v>
      </c>
    </row>
    <row r="3" spans="2:25" ht="20.100000000000001" customHeight="1" thickBot="1">
      <c r="B3" s="648"/>
      <c r="C3" s="918"/>
      <c r="D3" s="918"/>
      <c r="E3" s="658"/>
      <c r="G3" s="444" t="s">
        <v>288</v>
      </c>
      <c r="H3" s="523"/>
      <c r="I3" s="524"/>
      <c r="J3" s="525"/>
      <c r="K3" s="502"/>
      <c r="M3" s="526"/>
      <c r="N3" s="526"/>
      <c r="O3" s="526"/>
      <c r="P3" s="526"/>
      <c r="Q3" s="526"/>
      <c r="R3" s="526"/>
      <c r="S3" s="526"/>
      <c r="X3" s="365"/>
      <c r="Y3" s="376" t="s">
        <v>222</v>
      </c>
    </row>
    <row r="4" spans="2:25" ht="20.100000000000001" customHeight="1" thickBot="1">
      <c r="B4" s="648"/>
      <c r="C4" s="756"/>
      <c r="D4" s="376" t="s">
        <v>174</v>
      </c>
      <c r="E4" s="649"/>
      <c r="G4" s="382" t="s">
        <v>289</v>
      </c>
      <c r="H4" s="423" t="s">
        <v>290</v>
      </c>
      <c r="I4" s="427"/>
      <c r="J4" s="454"/>
      <c r="K4" s="527"/>
      <c r="M4" s="394"/>
      <c r="N4" s="382"/>
      <c r="O4" s="407"/>
      <c r="P4" s="528"/>
      <c r="Q4" s="528"/>
      <c r="R4" s="528"/>
      <c r="S4" s="528"/>
      <c r="X4" s="620"/>
      <c r="Y4" s="376" t="s">
        <v>186</v>
      </c>
    </row>
    <row r="5" spans="2:25" ht="20.100000000000001" customHeight="1">
      <c r="B5" s="648"/>
      <c r="C5" s="755"/>
      <c r="D5" s="376" t="s">
        <v>177</v>
      </c>
      <c r="E5" s="649"/>
      <c r="G5" s="382" t="s">
        <v>291</v>
      </c>
      <c r="H5" s="423" t="s">
        <v>292</v>
      </c>
      <c r="I5" s="427"/>
      <c r="J5" s="454"/>
      <c r="K5" s="527"/>
      <c r="M5" s="528"/>
      <c r="N5" s="528"/>
      <c r="O5" s="528"/>
      <c r="P5" s="528"/>
      <c r="Q5" s="528"/>
      <c r="R5" s="528"/>
      <c r="S5" s="528"/>
      <c r="X5" s="621"/>
      <c r="Y5" s="376" t="s">
        <v>188</v>
      </c>
    </row>
    <row r="6" spans="2:25" ht="20.100000000000001" customHeight="1">
      <c r="B6" s="648"/>
      <c r="C6" s="655"/>
      <c r="D6" s="376" t="s">
        <v>167</v>
      </c>
      <c r="E6" s="649"/>
      <c r="G6" s="382" t="s">
        <v>293</v>
      </c>
      <c r="H6" s="423" t="s">
        <v>183</v>
      </c>
      <c r="I6" s="627">
        <f>'Population &amp; GDP'!I10*I4/100</f>
        <v>0</v>
      </c>
      <c r="J6" s="456"/>
      <c r="K6" s="529">
        <v>7.3907763906080701E-3</v>
      </c>
      <c r="M6" s="530"/>
      <c r="N6" s="530"/>
      <c r="O6" s="530"/>
      <c r="P6" s="530"/>
      <c r="Q6" s="530"/>
      <c r="R6" s="530"/>
      <c r="S6" s="530"/>
    </row>
    <row r="7" spans="2:25" ht="20.100000000000001" customHeight="1">
      <c r="B7" s="648"/>
      <c r="C7" s="362"/>
      <c r="D7" s="376" t="s">
        <v>181</v>
      </c>
      <c r="E7" s="649"/>
      <c r="G7" s="382" t="s">
        <v>294</v>
      </c>
      <c r="H7" s="423" t="s">
        <v>295</v>
      </c>
      <c r="I7" s="455">
        <f>I6*I5</f>
        <v>0</v>
      </c>
      <c r="J7" s="456"/>
      <c r="K7" s="529">
        <v>0.25128639728067448</v>
      </c>
      <c r="M7" s="530"/>
      <c r="N7" s="530"/>
      <c r="O7" s="530"/>
      <c r="P7" s="530"/>
      <c r="Q7" s="530"/>
      <c r="R7" s="530"/>
      <c r="S7" s="530"/>
    </row>
    <row r="8" spans="2:25" ht="20.100000000000001" customHeight="1">
      <c r="B8" s="648"/>
      <c r="C8" s="384"/>
      <c r="D8" s="376" t="s">
        <v>184</v>
      </c>
      <c r="E8" s="649"/>
      <c r="G8" s="444" t="s">
        <v>296</v>
      </c>
      <c r="H8" s="523"/>
      <c r="I8" s="524"/>
      <c r="J8" s="525"/>
      <c r="K8" s="502"/>
      <c r="M8" s="526"/>
      <c r="N8" s="526"/>
      <c r="O8" s="526"/>
      <c r="P8" s="526"/>
      <c r="Q8" s="526"/>
      <c r="R8" s="526"/>
      <c r="S8" s="526"/>
    </row>
    <row r="9" spans="2:25" ht="20.100000000000001" customHeight="1">
      <c r="B9" s="648"/>
      <c r="C9" s="386"/>
      <c r="D9" s="376" t="s">
        <v>186</v>
      </c>
      <c r="E9" s="649"/>
      <c r="G9" s="382" t="s">
        <v>297</v>
      </c>
      <c r="H9" s="423" t="s">
        <v>290</v>
      </c>
      <c r="I9" s="483"/>
      <c r="J9" s="514"/>
      <c r="K9" s="531"/>
      <c r="M9" s="528"/>
      <c r="N9" s="528"/>
      <c r="O9" s="528"/>
      <c r="P9" s="528"/>
      <c r="Q9" s="528"/>
      <c r="R9" s="528"/>
      <c r="S9" s="528"/>
    </row>
    <row r="10" spans="2:25" ht="20.100000000000001" customHeight="1">
      <c r="B10" s="648"/>
      <c r="C10" s="389"/>
      <c r="D10" s="376" t="s">
        <v>188</v>
      </c>
      <c r="E10" s="649"/>
      <c r="G10" s="382" t="s">
        <v>298</v>
      </c>
      <c r="H10" s="423" t="s">
        <v>290</v>
      </c>
      <c r="I10" s="483"/>
      <c r="J10" s="514"/>
      <c r="K10" s="531"/>
      <c r="M10" s="528"/>
      <c r="N10" s="528"/>
      <c r="O10" s="528"/>
      <c r="P10" s="528"/>
      <c r="Q10" s="528"/>
      <c r="R10" s="528"/>
      <c r="S10" s="528"/>
    </row>
    <row r="11" spans="2:25" ht="20.100000000000001" customHeight="1">
      <c r="B11" s="648"/>
      <c r="D11" s="376"/>
      <c r="E11" s="649"/>
      <c r="G11" s="382" t="s">
        <v>299</v>
      </c>
      <c r="H11" s="423" t="s">
        <v>300</v>
      </c>
      <c r="I11" s="483"/>
      <c r="J11" s="514"/>
      <c r="K11" s="531"/>
      <c r="M11" s="528"/>
      <c r="N11" s="528"/>
      <c r="O11" s="528"/>
      <c r="P11" s="528"/>
      <c r="Q11" s="528"/>
      <c r="R11" s="528"/>
      <c r="S11" s="528"/>
    </row>
    <row r="12" spans="2:25" ht="20.100000000000001" customHeight="1">
      <c r="B12" s="648"/>
      <c r="C12" s="752" t="s">
        <v>190</v>
      </c>
      <c r="D12" s="646" t="s">
        <v>191</v>
      </c>
      <c r="E12" s="650"/>
      <c r="G12" s="382" t="s">
        <v>301</v>
      </c>
      <c r="H12" s="423" t="s">
        <v>290</v>
      </c>
      <c r="I12" s="483"/>
      <c r="J12" s="514"/>
      <c r="K12" s="531"/>
      <c r="M12" s="528"/>
      <c r="N12" s="528"/>
      <c r="O12" s="528"/>
      <c r="P12" s="528"/>
      <c r="Q12" s="528"/>
      <c r="R12" s="528"/>
      <c r="S12" s="528"/>
    </row>
    <row r="13" spans="2:25" ht="20.100000000000001" customHeight="1" thickBot="1">
      <c r="B13" s="648"/>
      <c r="C13" s="753" t="s">
        <v>190</v>
      </c>
      <c r="D13" s="376" t="s">
        <v>192</v>
      </c>
      <c r="E13" s="649"/>
      <c r="G13" s="382" t="s">
        <v>302</v>
      </c>
      <c r="H13" s="423" t="s">
        <v>300</v>
      </c>
      <c r="I13" s="532"/>
      <c r="J13" s="514"/>
      <c r="K13" s="531"/>
      <c r="M13" s="533"/>
      <c r="N13" s="533"/>
      <c r="O13" s="533"/>
      <c r="P13" s="533"/>
      <c r="Q13" s="533"/>
      <c r="R13" s="533"/>
      <c r="S13" s="533"/>
    </row>
    <row r="14" spans="2:25" ht="30" customHeight="1" thickBot="1">
      <c r="B14" s="648"/>
      <c r="C14" s="754" t="s">
        <v>190</v>
      </c>
      <c r="D14" s="376" t="s">
        <v>194</v>
      </c>
      <c r="E14" s="649"/>
      <c r="G14" s="534" t="s">
        <v>303</v>
      </c>
      <c r="H14" s="535"/>
      <c r="I14" s="535"/>
      <c r="J14" s="535"/>
      <c r="K14" s="536"/>
      <c r="L14" s="473"/>
      <c r="M14" s="535"/>
      <c r="N14" s="535"/>
      <c r="O14" s="535"/>
      <c r="P14" s="535"/>
      <c r="Q14" s="535"/>
      <c r="R14" s="535"/>
      <c r="S14" s="535"/>
    </row>
    <row r="15" spans="2:25" ht="20.100000000000001" customHeight="1" thickBot="1">
      <c r="B15" s="651"/>
      <c r="C15" s="652"/>
      <c r="D15" s="652"/>
      <c r="E15" s="653"/>
      <c r="G15" s="735" t="s">
        <v>163</v>
      </c>
      <c r="H15" s="736" t="s">
        <v>164</v>
      </c>
      <c r="I15" s="372" t="s">
        <v>165</v>
      </c>
      <c r="J15" s="373" t="s">
        <v>166</v>
      </c>
      <c r="K15" s="656" t="s">
        <v>167</v>
      </c>
      <c r="M15" s="401" t="s">
        <v>168</v>
      </c>
      <c r="N15" s="401" t="s">
        <v>169</v>
      </c>
      <c r="O15" s="401" t="s">
        <v>170</v>
      </c>
      <c r="P15" s="375" t="s">
        <v>168</v>
      </c>
      <c r="Q15" s="375" t="s">
        <v>166</v>
      </c>
      <c r="R15" s="375" t="s">
        <v>169</v>
      </c>
      <c r="S15" s="375" t="s">
        <v>170</v>
      </c>
      <c r="T15" s="361" t="s">
        <v>171</v>
      </c>
    </row>
    <row r="16" spans="2:25" ht="20.100000000000001" customHeight="1">
      <c r="G16" s="444" t="s">
        <v>269</v>
      </c>
      <c r="H16" s="523"/>
      <c r="I16" s="524"/>
      <c r="J16" s="525"/>
      <c r="K16" s="537"/>
      <c r="M16" s="538"/>
      <c r="N16" s="538"/>
      <c r="O16" s="538"/>
      <c r="P16" s="525"/>
      <c r="Q16" s="538"/>
      <c r="R16" s="538"/>
      <c r="S16" s="538"/>
      <c r="T16" s="361" t="s">
        <v>171</v>
      </c>
    </row>
    <row r="17" spans="3:19" ht="20.100000000000001" customHeight="1">
      <c r="G17" s="382" t="s">
        <v>147</v>
      </c>
      <c r="H17" s="423" t="s">
        <v>290</v>
      </c>
      <c r="I17" s="427"/>
      <c r="J17" s="454"/>
      <c r="K17" s="539">
        <v>0</v>
      </c>
      <c r="M17" s="394"/>
      <c r="N17" s="394"/>
      <c r="O17" s="394"/>
      <c r="P17" s="624"/>
      <c r="Q17" s="394"/>
      <c r="R17" s="368"/>
      <c r="S17" s="622"/>
    </row>
    <row r="18" spans="3:19" ht="20.100000000000001" customHeight="1">
      <c r="C18" s="361"/>
      <c r="D18" s="361"/>
      <c r="G18" s="382" t="s">
        <v>148</v>
      </c>
      <c r="H18" s="423" t="s">
        <v>290</v>
      </c>
      <c r="I18" s="427"/>
      <c r="J18" s="454"/>
      <c r="K18" s="539">
        <v>7.05</v>
      </c>
      <c r="M18" s="528"/>
      <c r="N18" s="528"/>
      <c r="O18" s="528"/>
      <c r="P18" s="624"/>
      <c r="Q18" s="394"/>
      <c r="R18" s="368"/>
      <c r="S18" s="622"/>
    </row>
    <row r="19" spans="3:19" ht="20.100000000000001" customHeight="1">
      <c r="C19" s="361"/>
      <c r="D19" s="361"/>
      <c r="G19" s="382" t="s">
        <v>129</v>
      </c>
      <c r="H19" s="423" t="s">
        <v>290</v>
      </c>
      <c r="I19" s="427"/>
      <c r="J19" s="454"/>
      <c r="K19" s="539">
        <v>40</v>
      </c>
      <c r="M19" s="528"/>
      <c r="N19" s="528"/>
      <c r="O19" s="528"/>
      <c r="P19" s="624"/>
      <c r="Q19" s="394"/>
      <c r="R19" s="368"/>
      <c r="S19" s="622"/>
    </row>
    <row r="20" spans="3:19" ht="20.100000000000001" customHeight="1">
      <c r="C20" s="361"/>
      <c r="D20" s="361"/>
      <c r="G20" s="382" t="s">
        <v>270</v>
      </c>
      <c r="H20" s="423" t="s">
        <v>290</v>
      </c>
      <c r="I20" s="633"/>
      <c r="J20" s="634"/>
      <c r="K20" s="635">
        <v>55.969745817609997</v>
      </c>
      <c r="M20" s="628"/>
      <c r="N20" s="628"/>
      <c r="O20" s="628"/>
      <c r="P20" s="629"/>
      <c r="Q20" s="630"/>
      <c r="R20" s="631"/>
      <c r="S20" s="632"/>
    </row>
    <row r="21" spans="3:19" ht="20.100000000000001" customHeight="1">
      <c r="G21" s="382" t="s">
        <v>271</v>
      </c>
      <c r="H21" s="423" t="s">
        <v>290</v>
      </c>
      <c r="I21" s="427"/>
      <c r="J21" s="454"/>
      <c r="K21" s="539">
        <v>9</v>
      </c>
      <c r="M21" s="528"/>
      <c r="N21" s="528"/>
      <c r="O21" s="528"/>
      <c r="P21" s="624"/>
      <c r="Q21" s="394"/>
      <c r="R21" s="368"/>
      <c r="S21" s="622"/>
    </row>
    <row r="22" spans="3:19" ht="20.100000000000001" customHeight="1">
      <c r="G22" s="382" t="s">
        <v>304</v>
      </c>
      <c r="H22" s="423" t="s">
        <v>290</v>
      </c>
      <c r="I22" s="427"/>
      <c r="J22" s="454"/>
      <c r="K22" s="539">
        <v>8.1</v>
      </c>
      <c r="M22" s="528"/>
      <c r="N22" s="528"/>
      <c r="O22" s="528"/>
      <c r="P22" s="624"/>
      <c r="Q22" s="394"/>
      <c r="R22" s="368"/>
      <c r="S22" s="622"/>
    </row>
    <row r="23" spans="3:19" ht="20.100000000000001" customHeight="1">
      <c r="G23" s="382" t="s">
        <v>272</v>
      </c>
      <c r="H23" s="423" t="s">
        <v>290</v>
      </c>
      <c r="I23" s="455">
        <f>100-SUM(I17:I22)+I20</f>
        <v>100</v>
      </c>
      <c r="J23" s="456">
        <f>100-SUM(J17:J22)+J20</f>
        <v>100</v>
      </c>
      <c r="K23" s="540">
        <f>100-K17-K18-K19-K21-K22</f>
        <v>35.85</v>
      </c>
      <c r="M23" s="530"/>
      <c r="N23" s="530"/>
      <c r="O23" s="530"/>
      <c r="P23" s="625"/>
      <c r="Q23" s="530"/>
      <c r="R23" s="530"/>
      <c r="S23" s="530"/>
    </row>
    <row r="24" spans="3:19" ht="20.100000000000001" customHeight="1">
      <c r="G24" s="541" t="s">
        <v>281</v>
      </c>
      <c r="H24" s="423" t="s">
        <v>290</v>
      </c>
      <c r="I24" s="439"/>
      <c r="J24" s="440"/>
      <c r="K24" s="543"/>
      <c r="M24" s="544"/>
      <c r="N24" s="544"/>
      <c r="O24" s="544"/>
      <c r="P24" s="626"/>
      <c r="Q24" s="403"/>
      <c r="R24" s="365"/>
      <c r="S24" s="623"/>
    </row>
    <row r="25" spans="3:19" ht="20.100000000000001" customHeight="1">
      <c r="G25" s="541" t="s">
        <v>282</v>
      </c>
      <c r="H25" s="423" t="s">
        <v>290</v>
      </c>
      <c r="I25" s="424"/>
      <c r="J25" s="546"/>
      <c r="K25" s="543"/>
      <c r="M25" s="544"/>
      <c r="N25" s="544"/>
      <c r="O25" s="544"/>
      <c r="P25" s="626"/>
      <c r="Q25" s="403"/>
      <c r="R25" s="365"/>
      <c r="S25" s="623"/>
    </row>
    <row r="26" spans="3:19" ht="20.100000000000001" customHeight="1">
      <c r="G26" s="541" t="s">
        <v>283</v>
      </c>
      <c r="H26" s="423" t="s">
        <v>290</v>
      </c>
      <c r="I26" s="424"/>
      <c r="J26" s="546"/>
      <c r="K26" s="543"/>
      <c r="M26" s="544"/>
      <c r="N26" s="544"/>
      <c r="O26" s="544"/>
      <c r="P26" s="626"/>
      <c r="Q26" s="403"/>
      <c r="R26" s="365"/>
      <c r="S26" s="623"/>
    </row>
    <row r="27" spans="3:19" ht="20.100000000000001" customHeight="1">
      <c r="G27" s="541" t="s">
        <v>305</v>
      </c>
      <c r="H27" s="423" t="s">
        <v>290</v>
      </c>
      <c r="I27" s="424"/>
      <c r="J27" s="546"/>
      <c r="K27" s="543"/>
      <c r="M27" s="544"/>
      <c r="N27" s="544"/>
      <c r="O27" s="544"/>
      <c r="P27" s="626"/>
      <c r="Q27" s="403"/>
      <c r="R27" s="365"/>
      <c r="S27" s="623"/>
    </row>
    <row r="28" spans="3:19" ht="20.100000000000001" customHeight="1">
      <c r="G28" s="541" t="s">
        <v>284</v>
      </c>
      <c r="H28" s="423" t="s">
        <v>290</v>
      </c>
      <c r="I28" s="455">
        <f>100-SUM(I24:I27)</f>
        <v>100</v>
      </c>
      <c r="J28" s="456">
        <f>100-SUM(J24:J27)</f>
        <v>100</v>
      </c>
      <c r="K28" s="540"/>
      <c r="M28" s="530"/>
      <c r="N28" s="530"/>
      <c r="O28" s="530"/>
      <c r="P28" s="625"/>
      <c r="Q28" s="530"/>
      <c r="R28" s="530"/>
      <c r="S28" s="530"/>
    </row>
    <row r="29" spans="3:19" ht="20.100000000000001" customHeight="1">
      <c r="G29" s="444" t="s">
        <v>306</v>
      </c>
      <c r="H29" s="523"/>
      <c r="I29" s="524"/>
      <c r="J29" s="525"/>
      <c r="K29" s="537"/>
      <c r="M29" s="538"/>
      <c r="N29" s="538"/>
      <c r="O29" s="538"/>
      <c r="P29" s="525"/>
      <c r="Q29" s="538"/>
      <c r="R29" s="538"/>
      <c r="S29" s="538"/>
    </row>
    <row r="30" spans="3:19" ht="20.100000000000001" customHeight="1">
      <c r="G30" s="382" t="s">
        <v>147</v>
      </c>
      <c r="H30" s="423" t="s">
        <v>290</v>
      </c>
      <c r="I30" s="427"/>
      <c r="J30" s="454"/>
      <c r="K30" s="539">
        <v>0</v>
      </c>
      <c r="M30" s="528"/>
      <c r="N30" s="528"/>
      <c r="O30" s="528"/>
      <c r="P30" s="624"/>
      <c r="Q30" s="394"/>
      <c r="R30" s="368"/>
      <c r="S30" s="622"/>
    </row>
    <row r="31" spans="3:19" ht="20.100000000000001" customHeight="1">
      <c r="G31" s="382" t="s">
        <v>148</v>
      </c>
      <c r="H31" s="423" t="s">
        <v>290</v>
      </c>
      <c r="I31" s="427"/>
      <c r="J31" s="454"/>
      <c r="K31" s="539">
        <v>0.8</v>
      </c>
      <c r="M31" s="528"/>
      <c r="N31" s="528"/>
      <c r="O31" s="528"/>
      <c r="P31" s="624"/>
      <c r="Q31" s="394"/>
      <c r="R31" s="368"/>
      <c r="S31" s="622"/>
    </row>
    <row r="32" spans="3:19" ht="20.100000000000001" customHeight="1">
      <c r="G32" s="382" t="s">
        <v>129</v>
      </c>
      <c r="H32" s="423" t="s">
        <v>290</v>
      </c>
      <c r="I32" s="427"/>
      <c r="J32" s="454"/>
      <c r="K32" s="539">
        <v>89.5</v>
      </c>
      <c r="M32" s="528"/>
      <c r="N32" s="528"/>
      <c r="O32" s="528"/>
      <c r="P32" s="624"/>
      <c r="Q32" s="394"/>
      <c r="R32" s="368"/>
      <c r="S32" s="622"/>
    </row>
    <row r="33" spans="7:19" ht="20.100000000000001" customHeight="1">
      <c r="G33" s="382" t="s">
        <v>271</v>
      </c>
      <c r="H33" s="423" t="s">
        <v>290</v>
      </c>
      <c r="I33" s="427"/>
      <c r="J33" s="454"/>
      <c r="K33" s="539">
        <v>3</v>
      </c>
      <c r="M33" s="528"/>
      <c r="N33" s="528"/>
      <c r="O33" s="528"/>
      <c r="P33" s="624"/>
      <c r="Q33" s="394"/>
      <c r="R33" s="368"/>
      <c r="S33" s="622"/>
    </row>
    <row r="34" spans="7:19" ht="20.100000000000001" customHeight="1">
      <c r="G34" s="382" t="s">
        <v>304</v>
      </c>
      <c r="H34" s="423" t="s">
        <v>290</v>
      </c>
      <c r="I34" s="427"/>
      <c r="J34" s="454"/>
      <c r="K34" s="539">
        <v>0</v>
      </c>
      <c r="M34" s="528"/>
      <c r="N34" s="528"/>
      <c r="O34" s="528"/>
      <c r="P34" s="624"/>
      <c r="Q34" s="394"/>
      <c r="R34" s="368"/>
      <c r="S34" s="622"/>
    </row>
    <row r="35" spans="7:19" ht="20.100000000000001" customHeight="1">
      <c r="G35" s="382" t="s">
        <v>272</v>
      </c>
      <c r="H35" s="423" t="s">
        <v>290</v>
      </c>
      <c r="I35" s="455">
        <f>100-SUM(I30:I34)</f>
        <v>100</v>
      </c>
      <c r="J35" s="456">
        <f>100-SUM(J30:J34)</f>
        <v>100</v>
      </c>
      <c r="K35" s="540">
        <v>6.7000000000000028</v>
      </c>
      <c r="M35" s="530"/>
      <c r="N35" s="530"/>
      <c r="O35" s="530"/>
      <c r="P35" s="625"/>
      <c r="Q35" s="530"/>
      <c r="R35" s="530"/>
      <c r="S35" s="530"/>
    </row>
    <row r="36" spans="7:19" ht="20.100000000000001" customHeight="1">
      <c r="G36" s="541" t="s">
        <v>307</v>
      </c>
      <c r="H36" s="423" t="s">
        <v>290</v>
      </c>
      <c r="I36" s="439"/>
      <c r="J36" s="440"/>
      <c r="K36" s="543"/>
      <c r="M36" s="544"/>
      <c r="N36" s="544"/>
      <c r="O36" s="544"/>
      <c r="P36" s="626"/>
      <c r="Q36" s="403"/>
      <c r="R36" s="365"/>
      <c r="S36" s="623"/>
    </row>
    <row r="37" spans="7:19" ht="20.100000000000001" customHeight="1">
      <c r="G37" s="541" t="s">
        <v>308</v>
      </c>
      <c r="H37" s="423" t="s">
        <v>290</v>
      </c>
      <c r="I37" s="424"/>
      <c r="J37" s="546"/>
      <c r="K37" s="543"/>
      <c r="M37" s="544"/>
      <c r="N37" s="544"/>
      <c r="O37" s="544"/>
      <c r="P37" s="626"/>
      <c r="Q37" s="403"/>
      <c r="R37" s="365"/>
      <c r="S37" s="623"/>
    </row>
    <row r="38" spans="7:19" ht="20.100000000000001" customHeight="1">
      <c r="G38" s="541" t="s">
        <v>309</v>
      </c>
      <c r="H38" s="423" t="s">
        <v>290</v>
      </c>
      <c r="I38" s="424"/>
      <c r="J38" s="546"/>
      <c r="K38" s="543"/>
      <c r="M38" s="544"/>
      <c r="N38" s="544"/>
      <c r="O38" s="544"/>
      <c r="P38" s="626"/>
      <c r="Q38" s="403"/>
      <c r="R38" s="365"/>
      <c r="S38" s="623"/>
    </row>
    <row r="39" spans="7:19" ht="20.100000000000001" customHeight="1">
      <c r="G39" s="541" t="s">
        <v>310</v>
      </c>
      <c r="H39" s="423" t="s">
        <v>290</v>
      </c>
      <c r="I39" s="424"/>
      <c r="J39" s="546"/>
      <c r="K39" s="543"/>
      <c r="M39" s="544"/>
      <c r="N39" s="544"/>
      <c r="O39" s="544"/>
      <c r="P39" s="626"/>
      <c r="Q39" s="403"/>
      <c r="R39" s="365"/>
      <c r="S39" s="623"/>
    </row>
    <row r="40" spans="7:19" ht="20.100000000000001" customHeight="1" thickBot="1">
      <c r="G40" s="541" t="s">
        <v>311</v>
      </c>
      <c r="H40" s="423" t="s">
        <v>290</v>
      </c>
      <c r="I40" s="545">
        <f>100-SUM(I36:I39)</f>
        <v>100</v>
      </c>
      <c r="J40" s="456">
        <f>100-SUM(J36:J39)</f>
        <v>100</v>
      </c>
      <c r="K40" s="540"/>
      <c r="M40" s="530"/>
      <c r="N40" s="530"/>
      <c r="O40" s="530"/>
      <c r="P40" s="625"/>
      <c r="Q40" s="530"/>
      <c r="R40" s="530"/>
      <c r="S40" s="530"/>
    </row>
  </sheetData>
  <mergeCells count="1">
    <mergeCell ref="C2:D3"/>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sheetPr>
  <dimension ref="A1:AC75"/>
  <sheetViews>
    <sheetView showGridLines="0" zoomScale="80" zoomScaleNormal="80" workbookViewId="0">
      <selection activeCell="J73" sqref="J73"/>
    </sheetView>
  </sheetViews>
  <sheetFormatPr defaultColWidth="8.85546875" defaultRowHeight="14.45"/>
  <cols>
    <col min="1" max="1" width="3.7109375" customWidth="1"/>
    <col min="2" max="2" width="3.5703125" customWidth="1"/>
    <col min="3" max="3" width="10.5703125" customWidth="1"/>
    <col min="4" max="4" width="29.85546875" bestFit="1" customWidth="1"/>
    <col min="5" max="5" width="3.5703125" customWidth="1"/>
    <col min="6" max="6" width="3.7109375" customWidth="1"/>
    <col min="7" max="7" width="45.5703125" style="399" customWidth="1"/>
    <col min="8" max="8" width="10.5703125" style="361" customWidth="1"/>
    <col min="9" max="9" width="17.7109375" style="361" customWidth="1"/>
    <col min="10" max="10" width="15.5703125" style="361" customWidth="1"/>
    <col min="11" max="11" width="5.7109375" style="361" customWidth="1"/>
    <col min="12" max="12" width="20.5703125" style="361" customWidth="1"/>
    <col min="13" max="13" width="10.5703125" style="361" customWidth="1"/>
    <col min="14" max="14" width="5.7109375" style="361" customWidth="1"/>
    <col min="15" max="15" width="20.5703125" style="361" customWidth="1"/>
    <col min="16" max="17" width="10.5703125" style="361" customWidth="1"/>
    <col min="18" max="18" width="5.5703125" style="361" customWidth="1"/>
    <col min="19" max="19" width="5.7109375" customWidth="1"/>
    <col min="20" max="22" width="19.85546875" bestFit="1" customWidth="1"/>
    <col min="23" max="23" width="38.28515625" bestFit="1" customWidth="1"/>
    <col min="24" max="24" width="23.85546875" customWidth="1"/>
  </cols>
  <sheetData>
    <row r="1" spans="1:29" ht="50.1" customHeight="1">
      <c r="G1" s="369" t="s">
        <v>312</v>
      </c>
      <c r="H1" s="369"/>
      <c r="I1" s="369"/>
      <c r="J1" s="369"/>
      <c r="K1" s="369"/>
      <c r="L1" s="369"/>
      <c r="M1" s="369"/>
      <c r="N1" s="369"/>
      <c r="Q1" s="369"/>
      <c r="R1" s="369"/>
    </row>
    <row r="2" spans="1:29" s="353" customFormat="1" ht="30" customHeight="1">
      <c r="A2"/>
      <c r="G2" s="470" t="s">
        <v>313</v>
      </c>
      <c r="H2" s="511"/>
      <c r="I2" s="511"/>
      <c r="J2" s="511"/>
      <c r="K2" s="511"/>
      <c r="L2" s="511"/>
      <c r="M2" s="511"/>
      <c r="N2" s="511"/>
      <c r="Q2" s="511"/>
      <c r="R2" s="511"/>
      <c r="S2" s="548"/>
      <c r="T2" s="548"/>
      <c r="U2" s="548"/>
      <c r="V2" s="548"/>
      <c r="W2" s="548"/>
      <c r="X2" s="548"/>
      <c r="Y2" s="548"/>
      <c r="Z2" s="548"/>
      <c r="AA2" s="548"/>
      <c r="AB2" s="548"/>
      <c r="AC2" s="548"/>
    </row>
    <row r="3" spans="1:29" ht="20.100000000000001" customHeight="1">
      <c r="G3" s="399" t="s">
        <v>314</v>
      </c>
    </row>
    <row r="4" spans="1:29" ht="20.100000000000001" customHeight="1" thickBot="1">
      <c r="G4" s="399" t="s">
        <v>315</v>
      </c>
      <c r="X4" s="1"/>
      <c r="Y4" s="549"/>
    </row>
    <row r="5" spans="1:29" ht="20.100000000000001" customHeight="1">
      <c r="B5" s="647"/>
      <c r="C5" s="917" t="s">
        <v>162</v>
      </c>
      <c r="D5" s="917"/>
      <c r="E5" s="657"/>
      <c r="F5" t="s">
        <v>171</v>
      </c>
      <c r="G5" s="735" t="s">
        <v>163</v>
      </c>
      <c r="H5" s="736" t="s">
        <v>164</v>
      </c>
      <c r="I5" s="372" t="s">
        <v>165</v>
      </c>
      <c r="J5" s="373" t="s">
        <v>166</v>
      </c>
      <c r="L5" s="401" t="s">
        <v>168</v>
      </c>
      <c r="M5" s="401" t="s">
        <v>169</v>
      </c>
      <c r="N5" s="401" t="s">
        <v>170</v>
      </c>
      <c r="O5" s="375" t="s">
        <v>168</v>
      </c>
      <c r="P5" s="375" t="s">
        <v>166</v>
      </c>
      <c r="Q5" s="375" t="s">
        <v>169</v>
      </c>
      <c r="R5" s="375" t="s">
        <v>170</v>
      </c>
      <c r="S5" s="550"/>
      <c r="T5" s="361"/>
    </row>
    <row r="6" spans="1:29" ht="20.100000000000001" customHeight="1" thickBot="1">
      <c r="B6" s="648"/>
      <c r="C6" s="918"/>
      <c r="D6" s="918"/>
      <c r="E6" s="658"/>
      <c r="F6" t="s">
        <v>171</v>
      </c>
      <c r="G6" s="444" t="s">
        <v>149</v>
      </c>
      <c r="H6" s="523"/>
      <c r="I6" s="524"/>
      <c r="J6" s="525"/>
      <c r="L6" s="538"/>
      <c r="M6" s="538"/>
      <c r="N6" s="538"/>
      <c r="O6" s="538"/>
      <c r="P6" s="538"/>
      <c r="Q6" s="538"/>
      <c r="R6" s="538"/>
      <c r="S6" s="462" t="s">
        <v>171</v>
      </c>
      <c r="W6" s="3"/>
    </row>
    <row r="7" spans="1:29" ht="20.100000000000001" customHeight="1" thickBot="1">
      <c r="B7" s="648"/>
      <c r="C7" s="756"/>
      <c r="D7" s="376" t="s">
        <v>174</v>
      </c>
      <c r="E7" s="649"/>
      <c r="F7" t="s">
        <v>171</v>
      </c>
      <c r="G7" s="382" t="s">
        <v>147</v>
      </c>
      <c r="H7" s="423" t="s">
        <v>290</v>
      </c>
      <c r="I7" s="427"/>
      <c r="J7" s="454"/>
      <c r="L7" s="428"/>
      <c r="M7" s="428"/>
      <c r="N7" s="428"/>
      <c r="O7" s="624"/>
      <c r="P7" s="394"/>
      <c r="Q7" s="368"/>
      <c r="R7" s="622"/>
      <c r="S7" s="462" t="s">
        <v>171</v>
      </c>
    </row>
    <row r="8" spans="1:29" ht="20.100000000000001" customHeight="1">
      <c r="B8" s="648"/>
      <c r="C8" s="755"/>
      <c r="D8" s="376" t="s">
        <v>177</v>
      </c>
      <c r="E8" s="649"/>
      <c r="F8" t="s">
        <v>171</v>
      </c>
      <c r="G8" s="382" t="s">
        <v>316</v>
      </c>
      <c r="H8" s="423" t="s">
        <v>290</v>
      </c>
      <c r="I8" s="427"/>
      <c r="J8" s="454"/>
      <c r="L8" s="428"/>
      <c r="M8" s="428"/>
      <c r="N8" s="428"/>
      <c r="O8" s="624"/>
      <c r="P8" s="394"/>
      <c r="Q8" s="368"/>
      <c r="R8" s="622"/>
      <c r="S8" s="462" t="s">
        <v>171</v>
      </c>
    </row>
    <row r="9" spans="1:29" ht="20.100000000000001" customHeight="1">
      <c r="B9" s="648"/>
      <c r="C9" s="655"/>
      <c r="D9" s="376" t="s">
        <v>167</v>
      </c>
      <c r="E9" s="649"/>
      <c r="F9" t="s">
        <v>171</v>
      </c>
      <c r="G9" s="382" t="s">
        <v>129</v>
      </c>
      <c r="H9" s="423" t="s">
        <v>290</v>
      </c>
      <c r="I9" s="427"/>
      <c r="J9" s="454"/>
      <c r="L9" s="428"/>
      <c r="M9" s="428"/>
      <c r="N9" s="428"/>
      <c r="O9" s="624"/>
      <c r="P9" s="394"/>
      <c r="Q9" s="368"/>
      <c r="R9" s="622"/>
      <c r="S9" s="462" t="s">
        <v>171</v>
      </c>
      <c r="W9" s="3"/>
    </row>
    <row r="10" spans="1:29" ht="20.100000000000001" customHeight="1">
      <c r="B10" s="648"/>
      <c r="C10" s="362"/>
      <c r="D10" s="376" t="s">
        <v>181</v>
      </c>
      <c r="E10" s="649"/>
      <c r="F10" t="s">
        <v>171</v>
      </c>
      <c r="G10" s="382" t="s">
        <v>270</v>
      </c>
      <c r="H10" s="423" t="s">
        <v>290</v>
      </c>
      <c r="I10" s="633"/>
      <c r="J10" s="634"/>
      <c r="L10" s="636"/>
      <c r="M10" s="636"/>
      <c r="N10" s="636"/>
      <c r="O10" s="639"/>
      <c r="P10" s="640"/>
      <c r="Q10" s="641"/>
      <c r="R10" s="642"/>
      <c r="S10" s="462" t="s">
        <v>171</v>
      </c>
      <c r="W10" s="3"/>
    </row>
    <row r="11" spans="1:29" ht="20.100000000000001" customHeight="1">
      <c r="B11" s="648"/>
      <c r="C11" s="384"/>
      <c r="D11" s="376" t="s">
        <v>184</v>
      </c>
      <c r="E11" s="649"/>
      <c r="F11" t="s">
        <v>171</v>
      </c>
      <c r="G11" s="382" t="s">
        <v>271</v>
      </c>
      <c r="H11" s="423" t="s">
        <v>290</v>
      </c>
      <c r="I11" s="427"/>
      <c r="J11" s="454"/>
      <c r="L11" s="428"/>
      <c r="M11" s="428"/>
      <c r="N11" s="428"/>
      <c r="O11" s="624"/>
      <c r="P11" s="394"/>
      <c r="Q11" s="368"/>
      <c r="R11" s="622"/>
      <c r="S11" s="462" t="s">
        <v>171</v>
      </c>
      <c r="X11" s="553"/>
    </row>
    <row r="12" spans="1:29" ht="20.100000000000001" customHeight="1">
      <c r="B12" s="648"/>
      <c r="C12" s="386"/>
      <c r="D12" s="376" t="s">
        <v>186</v>
      </c>
      <c r="E12" s="649"/>
      <c r="F12" t="s">
        <v>171</v>
      </c>
      <c r="G12" s="382" t="s">
        <v>317</v>
      </c>
      <c r="H12" s="423" t="s">
        <v>290</v>
      </c>
      <c r="I12" s="427"/>
      <c r="J12" s="637"/>
      <c r="L12" s="428"/>
      <c r="M12" s="428"/>
      <c r="N12" s="428"/>
      <c r="O12" s="624"/>
      <c r="P12" s="394"/>
      <c r="Q12" s="368"/>
      <c r="R12" s="622"/>
      <c r="S12" s="462" t="s">
        <v>171</v>
      </c>
      <c r="W12" s="3"/>
    </row>
    <row r="13" spans="1:29" ht="20.100000000000001" customHeight="1">
      <c r="B13" s="648"/>
      <c r="C13" s="389"/>
      <c r="D13" s="376" t="s">
        <v>188</v>
      </c>
      <c r="E13" s="649"/>
      <c r="F13" t="s">
        <v>171</v>
      </c>
      <c r="G13" s="382" t="s">
        <v>272</v>
      </c>
      <c r="H13" s="423" t="s">
        <v>290</v>
      </c>
      <c r="I13" s="455">
        <f>100-SUM(I7:I12)+I10</f>
        <v>100</v>
      </c>
      <c r="J13" s="456">
        <f>100-SUM(J7:J12)+J10</f>
        <v>100</v>
      </c>
      <c r="L13" s="443"/>
      <c r="M13" s="443"/>
      <c r="N13" s="443"/>
      <c r="O13" s="443"/>
      <c r="P13" s="443"/>
      <c r="Q13" s="443"/>
      <c r="R13" s="443"/>
      <c r="S13" s="462" t="s">
        <v>171</v>
      </c>
      <c r="W13" s="3"/>
    </row>
    <row r="14" spans="1:29" ht="20.100000000000001" customHeight="1">
      <c r="B14" s="648"/>
      <c r="D14" s="376"/>
      <c r="E14" s="649"/>
      <c r="F14" t="s">
        <v>171</v>
      </c>
      <c r="G14" s="551" t="s">
        <v>281</v>
      </c>
      <c r="H14" s="552" t="s">
        <v>290</v>
      </c>
      <c r="I14" s="439"/>
      <c r="J14" s="638"/>
      <c r="L14" s="426"/>
      <c r="M14" s="426"/>
      <c r="N14" s="426"/>
      <c r="O14" s="626"/>
      <c r="P14" s="403"/>
      <c r="Q14" s="365"/>
      <c r="R14" s="623"/>
      <c r="S14" s="462" t="s">
        <v>171</v>
      </c>
      <c r="W14" s="3"/>
    </row>
    <row r="15" spans="1:29" ht="20.100000000000001" customHeight="1">
      <c r="B15" s="648"/>
      <c r="C15" s="752" t="s">
        <v>190</v>
      </c>
      <c r="D15" s="646" t="s">
        <v>191</v>
      </c>
      <c r="E15" s="650"/>
      <c r="F15" t="s">
        <v>171</v>
      </c>
      <c r="G15" s="551" t="s">
        <v>282</v>
      </c>
      <c r="H15" s="552" t="s">
        <v>290</v>
      </c>
      <c r="I15" s="424"/>
      <c r="J15" s="546"/>
      <c r="L15" s="441"/>
      <c r="M15" s="441"/>
      <c r="N15" s="441"/>
      <c r="O15" s="626"/>
      <c r="P15" s="403"/>
      <c r="Q15" s="365"/>
      <c r="R15" s="623"/>
      <c r="S15" s="462" t="s">
        <v>171</v>
      </c>
      <c r="W15" s="3"/>
    </row>
    <row r="16" spans="1:29" ht="20.100000000000001" customHeight="1">
      <c r="B16" s="648"/>
      <c r="C16" s="753" t="s">
        <v>190</v>
      </c>
      <c r="D16" s="376" t="s">
        <v>192</v>
      </c>
      <c r="E16" s="649"/>
      <c r="F16" t="s">
        <v>171</v>
      </c>
      <c r="G16" s="551" t="s">
        <v>283</v>
      </c>
      <c r="H16" s="552" t="s">
        <v>290</v>
      </c>
      <c r="I16" s="424"/>
      <c r="J16" s="546"/>
      <c r="L16" s="441"/>
      <c r="M16" s="441"/>
      <c r="N16" s="441"/>
      <c r="O16" s="626"/>
      <c r="P16" s="403"/>
      <c r="Q16" s="365"/>
      <c r="R16" s="623"/>
      <c r="S16" s="462" t="s">
        <v>171</v>
      </c>
      <c r="W16" s="3"/>
    </row>
    <row r="17" spans="2:24" ht="20.100000000000001" customHeight="1">
      <c r="B17" s="648"/>
      <c r="C17" s="754" t="s">
        <v>190</v>
      </c>
      <c r="D17" s="376" t="s">
        <v>194</v>
      </c>
      <c r="E17" s="649"/>
      <c r="F17" t="s">
        <v>171</v>
      </c>
      <c r="G17" s="551" t="s">
        <v>305</v>
      </c>
      <c r="H17" s="552" t="s">
        <v>290</v>
      </c>
      <c r="I17" s="424"/>
      <c r="J17" s="546"/>
      <c r="L17" s="441"/>
      <c r="M17" s="441"/>
      <c r="N17" s="441"/>
      <c r="O17" s="626"/>
      <c r="P17" s="403"/>
      <c r="Q17" s="365"/>
      <c r="R17" s="623"/>
      <c r="S17" s="462" t="s">
        <v>171</v>
      </c>
      <c r="W17" s="3"/>
    </row>
    <row r="18" spans="2:24" ht="20.100000000000001" customHeight="1" thickBot="1">
      <c r="B18" s="651"/>
      <c r="C18" s="652"/>
      <c r="D18" s="652"/>
      <c r="E18" s="653"/>
      <c r="F18" t="s">
        <v>171</v>
      </c>
      <c r="G18" s="551" t="s">
        <v>318</v>
      </c>
      <c r="H18" s="552" t="s">
        <v>290</v>
      </c>
      <c r="I18" s="424"/>
      <c r="J18" s="546"/>
      <c r="L18" s="441"/>
      <c r="M18" s="441"/>
      <c r="N18" s="441"/>
      <c r="O18" s="626"/>
      <c r="P18" s="403"/>
      <c r="Q18" s="365"/>
      <c r="R18" s="623"/>
      <c r="S18" s="462" t="s">
        <v>171</v>
      </c>
      <c r="W18" s="3"/>
    </row>
    <row r="19" spans="2:24" ht="20.100000000000001" customHeight="1">
      <c r="G19" s="551" t="s">
        <v>284</v>
      </c>
      <c r="H19" s="552" t="s">
        <v>290</v>
      </c>
      <c r="I19" s="455">
        <f>100-SUM(I14:I18)</f>
        <v>100</v>
      </c>
      <c r="J19" s="456">
        <f>100-SUM(J14:J18)</f>
        <v>100</v>
      </c>
      <c r="L19" s="443"/>
      <c r="M19" s="443"/>
      <c r="N19" s="443"/>
      <c r="O19" s="443"/>
      <c r="P19" s="443"/>
      <c r="Q19" s="443"/>
      <c r="R19" s="443"/>
      <c r="S19" s="462" t="s">
        <v>171</v>
      </c>
      <c r="W19" s="3"/>
    </row>
    <row r="20" spans="2:24" ht="20.100000000000001" customHeight="1">
      <c r="G20" s="444" t="s">
        <v>150</v>
      </c>
      <c r="H20" s="523"/>
      <c r="I20" s="524"/>
      <c r="J20" s="525"/>
      <c r="L20" s="538"/>
      <c r="M20" s="538"/>
      <c r="N20" s="538"/>
      <c r="O20" s="538"/>
      <c r="P20" s="538"/>
      <c r="Q20" s="538"/>
      <c r="R20" s="538"/>
      <c r="S20" s="462" t="s">
        <v>171</v>
      </c>
    </row>
    <row r="21" spans="2:24" ht="20.100000000000001" customHeight="1">
      <c r="G21" s="382" t="s">
        <v>147</v>
      </c>
      <c r="H21" s="423" t="s">
        <v>290</v>
      </c>
      <c r="I21" s="427"/>
      <c r="J21" s="454"/>
      <c r="L21" s="428"/>
      <c r="M21" s="428"/>
      <c r="N21" s="428"/>
      <c r="O21" s="624"/>
      <c r="P21" s="394"/>
      <c r="Q21" s="368"/>
      <c r="R21" s="622"/>
      <c r="S21" s="462" t="s">
        <v>171</v>
      </c>
      <c r="W21" s="3"/>
    </row>
    <row r="22" spans="2:24" ht="20.100000000000001" customHeight="1">
      <c r="G22" s="382" t="s">
        <v>316</v>
      </c>
      <c r="H22" s="423" t="s">
        <v>290</v>
      </c>
      <c r="I22" s="427"/>
      <c r="J22" s="454"/>
      <c r="L22" s="428"/>
      <c r="M22" s="428"/>
      <c r="N22" s="428"/>
      <c r="O22" s="624"/>
      <c r="P22" s="394"/>
      <c r="Q22" s="368"/>
      <c r="R22" s="622"/>
      <c r="S22" s="462" t="s">
        <v>171</v>
      </c>
      <c r="T22" s="361"/>
    </row>
    <row r="23" spans="2:24" ht="20.100000000000001" customHeight="1">
      <c r="G23" s="382" t="s">
        <v>129</v>
      </c>
      <c r="H23" s="423" t="s">
        <v>290</v>
      </c>
      <c r="I23" s="427"/>
      <c r="J23" s="454"/>
      <c r="L23" s="428"/>
      <c r="M23" s="428"/>
      <c r="N23" s="428"/>
      <c r="O23" s="624"/>
      <c r="P23" s="394"/>
      <c r="Q23" s="368"/>
      <c r="R23" s="622"/>
      <c r="S23" s="462" t="s">
        <v>171</v>
      </c>
      <c r="X23" s="553"/>
    </row>
    <row r="24" spans="2:24" ht="20.100000000000001" customHeight="1">
      <c r="G24" s="382" t="s">
        <v>270</v>
      </c>
      <c r="H24" s="423" t="s">
        <v>290</v>
      </c>
      <c r="I24" s="633"/>
      <c r="J24" s="634"/>
      <c r="L24" s="636"/>
      <c r="M24" s="636"/>
      <c r="N24" s="636"/>
      <c r="O24" s="639"/>
      <c r="P24" s="640"/>
      <c r="Q24" s="641"/>
      <c r="R24" s="642"/>
      <c r="S24" s="462" t="s">
        <v>171</v>
      </c>
      <c r="X24" s="553"/>
    </row>
    <row r="25" spans="2:24" ht="20.100000000000001" customHeight="1">
      <c r="G25" s="382" t="s">
        <v>271</v>
      </c>
      <c r="H25" s="423" t="s">
        <v>290</v>
      </c>
      <c r="I25" s="427"/>
      <c r="J25" s="454"/>
      <c r="L25" s="428"/>
      <c r="M25" s="428"/>
      <c r="N25" s="428"/>
      <c r="O25" s="624"/>
      <c r="P25" s="394"/>
      <c r="Q25" s="368"/>
      <c r="R25" s="622"/>
      <c r="S25" s="462" t="s">
        <v>171</v>
      </c>
      <c r="X25" s="553"/>
    </row>
    <row r="26" spans="2:24" ht="20.100000000000001" customHeight="1">
      <c r="G26" s="382" t="s">
        <v>319</v>
      </c>
      <c r="H26" s="423" t="s">
        <v>290</v>
      </c>
      <c r="I26" s="427"/>
      <c r="J26" s="454"/>
      <c r="L26" s="428"/>
      <c r="M26" s="428"/>
      <c r="N26" s="428"/>
      <c r="O26" s="624"/>
      <c r="P26" s="394"/>
      <c r="Q26" s="368"/>
      <c r="R26" s="622"/>
      <c r="S26" s="462"/>
    </row>
    <row r="27" spans="2:24" ht="20.100000000000001" customHeight="1">
      <c r="G27" s="382" t="s">
        <v>272</v>
      </c>
      <c r="H27" s="423" t="s">
        <v>290</v>
      </c>
      <c r="I27" s="455">
        <f>100-SUM(I21:I26)</f>
        <v>100</v>
      </c>
      <c r="J27" s="456">
        <f>100-SUM(J21:J26)+J24</f>
        <v>100</v>
      </c>
      <c r="L27" s="443"/>
      <c r="M27" s="443"/>
      <c r="N27" s="443"/>
      <c r="O27" s="443"/>
      <c r="P27" s="443"/>
      <c r="Q27" s="443"/>
      <c r="R27" s="443"/>
      <c r="S27" s="462"/>
    </row>
    <row r="28" spans="2:24" ht="20.100000000000001" customHeight="1">
      <c r="G28" s="551" t="s">
        <v>281</v>
      </c>
      <c r="H28" s="552" t="s">
        <v>290</v>
      </c>
      <c r="I28" s="439"/>
      <c r="J28" s="440"/>
      <c r="L28" s="426"/>
      <c r="M28" s="426"/>
      <c r="N28" s="426"/>
      <c r="O28" s="626"/>
      <c r="P28" s="403"/>
      <c r="Q28" s="365"/>
      <c r="R28" s="623"/>
      <c r="S28" s="462"/>
      <c r="T28" s="361"/>
    </row>
    <row r="29" spans="2:24" ht="20.100000000000001" customHeight="1">
      <c r="G29" s="551" t="s">
        <v>282</v>
      </c>
      <c r="H29" s="552" t="s">
        <v>290</v>
      </c>
      <c r="I29" s="424"/>
      <c r="J29" s="546"/>
      <c r="L29" s="441"/>
      <c r="M29" s="441"/>
      <c r="N29" s="441"/>
      <c r="O29" s="626"/>
      <c r="P29" s="403"/>
      <c r="Q29" s="365"/>
      <c r="R29" s="623"/>
      <c r="S29" s="462"/>
    </row>
    <row r="30" spans="2:24" ht="20.100000000000001" customHeight="1">
      <c r="G30" s="551" t="s">
        <v>283</v>
      </c>
      <c r="H30" s="552" t="s">
        <v>290</v>
      </c>
      <c r="I30" s="424"/>
      <c r="J30" s="546"/>
      <c r="L30" s="441"/>
      <c r="M30" s="441"/>
      <c r="N30" s="441"/>
      <c r="O30" s="626"/>
      <c r="P30" s="403"/>
      <c r="Q30" s="365"/>
      <c r="R30" s="623"/>
      <c r="S30" s="462"/>
    </row>
    <row r="31" spans="2:24" ht="20.100000000000001" customHeight="1">
      <c r="G31" s="551" t="s">
        <v>305</v>
      </c>
      <c r="H31" s="552" t="s">
        <v>290</v>
      </c>
      <c r="I31" s="424"/>
      <c r="J31" s="546"/>
      <c r="L31" s="441"/>
      <c r="M31" s="441"/>
      <c r="N31" s="441"/>
      <c r="O31" s="626"/>
      <c r="P31" s="403"/>
      <c r="Q31" s="365"/>
      <c r="R31" s="623"/>
      <c r="S31" s="462"/>
    </row>
    <row r="32" spans="2:24" ht="20.100000000000001" customHeight="1">
      <c r="G32" s="551" t="s">
        <v>318</v>
      </c>
      <c r="H32" s="552" t="s">
        <v>290</v>
      </c>
      <c r="I32" s="424"/>
      <c r="J32" s="546"/>
      <c r="L32" s="441"/>
      <c r="M32" s="441"/>
      <c r="N32" s="441"/>
      <c r="O32" s="626"/>
      <c r="P32" s="403"/>
      <c r="Q32" s="365"/>
      <c r="R32" s="623"/>
      <c r="S32" s="462"/>
    </row>
    <row r="33" spans="1:28" ht="20.100000000000001" customHeight="1">
      <c r="G33" s="551" t="s">
        <v>284</v>
      </c>
      <c r="H33" s="552" t="s">
        <v>290</v>
      </c>
      <c r="I33" s="455">
        <f>100-SUM(I28:I32)</f>
        <v>100</v>
      </c>
      <c r="J33" s="456">
        <f>100-SUM(J28:J32)</f>
        <v>100</v>
      </c>
      <c r="L33" s="443"/>
      <c r="M33" s="443"/>
      <c r="N33" s="443"/>
      <c r="O33" s="443"/>
      <c r="P33" s="443"/>
      <c r="Q33" s="443"/>
      <c r="R33" s="443"/>
      <c r="S33" s="462"/>
    </row>
    <row r="34" spans="1:28" ht="20.100000000000001" customHeight="1">
      <c r="G34" s="444" t="s">
        <v>151</v>
      </c>
      <c r="H34" s="523"/>
      <c r="I34" s="524"/>
      <c r="J34" s="525"/>
      <c r="L34" s="538"/>
      <c r="M34" s="538"/>
      <c r="N34" s="538"/>
      <c r="O34" s="538"/>
      <c r="P34" s="538"/>
      <c r="Q34" s="538"/>
      <c r="R34" s="538"/>
      <c r="S34" s="462"/>
      <c r="W34" s="554"/>
    </row>
    <row r="35" spans="1:28" ht="20.100000000000001" customHeight="1">
      <c r="G35" s="382" t="s">
        <v>147</v>
      </c>
      <c r="H35" s="423" t="s">
        <v>290</v>
      </c>
      <c r="I35" s="427"/>
      <c r="J35" s="454"/>
      <c r="L35" s="428"/>
      <c r="M35" s="428"/>
      <c r="N35" s="428"/>
      <c r="O35" s="624"/>
      <c r="P35" s="394"/>
      <c r="Q35" s="368"/>
      <c r="R35" s="622"/>
      <c r="S35" s="462"/>
    </row>
    <row r="36" spans="1:28" ht="20.100000000000001" customHeight="1">
      <c r="G36" s="382" t="s">
        <v>148</v>
      </c>
      <c r="H36" s="423" t="s">
        <v>290</v>
      </c>
      <c r="I36" s="427"/>
      <c r="J36" s="454"/>
      <c r="L36" s="428"/>
      <c r="M36" s="428"/>
      <c r="N36" s="428"/>
      <c r="O36" s="624"/>
      <c r="P36" s="394"/>
      <c r="Q36" s="368"/>
      <c r="R36" s="622"/>
      <c r="S36" s="462"/>
    </row>
    <row r="37" spans="1:28" ht="20.100000000000001" customHeight="1">
      <c r="G37" s="382" t="s">
        <v>129</v>
      </c>
      <c r="H37" s="423" t="s">
        <v>290</v>
      </c>
      <c r="I37" s="427"/>
      <c r="J37" s="454"/>
      <c r="L37" s="428"/>
      <c r="M37" s="428"/>
      <c r="N37" s="428"/>
      <c r="O37" s="624"/>
      <c r="P37" s="394"/>
      <c r="Q37" s="368"/>
      <c r="R37" s="622"/>
      <c r="S37" s="462"/>
    </row>
    <row r="38" spans="1:28" ht="20.100000000000001" customHeight="1">
      <c r="G38" s="382" t="s">
        <v>270</v>
      </c>
      <c r="H38" s="423" t="s">
        <v>290</v>
      </c>
      <c r="I38" s="633"/>
      <c r="J38" s="634"/>
      <c r="L38" s="636"/>
      <c r="M38" s="636"/>
      <c r="N38" s="636"/>
      <c r="O38" s="639"/>
      <c r="P38" s="640"/>
      <c r="Q38" s="641"/>
      <c r="R38" s="642"/>
      <c r="S38" s="462"/>
    </row>
    <row r="39" spans="1:28" ht="20.100000000000001" customHeight="1">
      <c r="G39" s="382" t="s">
        <v>319</v>
      </c>
      <c r="H39" s="423" t="s">
        <v>290</v>
      </c>
      <c r="I39" s="427"/>
      <c r="J39" s="454"/>
      <c r="L39" s="428"/>
      <c r="M39" s="428"/>
      <c r="N39" s="428"/>
      <c r="O39" s="624"/>
      <c r="P39" s="394"/>
      <c r="Q39" s="368"/>
      <c r="R39" s="622"/>
      <c r="S39" s="462"/>
      <c r="T39" s="361"/>
    </row>
    <row r="40" spans="1:28" ht="20.100000000000001" customHeight="1">
      <c r="G40" s="382" t="s">
        <v>272</v>
      </c>
      <c r="H40" s="423" t="s">
        <v>290</v>
      </c>
      <c r="I40" s="455"/>
      <c r="J40" s="456">
        <f>100-SUM(J35:J39)</f>
        <v>100</v>
      </c>
      <c r="L40" s="443"/>
      <c r="M40" s="443"/>
      <c r="N40" s="443"/>
      <c r="O40" s="443"/>
      <c r="P40" s="443"/>
      <c r="Q40" s="443"/>
      <c r="R40" s="443"/>
      <c r="S40" s="462"/>
    </row>
    <row r="41" spans="1:28" ht="20.100000000000001" customHeight="1">
      <c r="G41" s="551" t="s">
        <v>281</v>
      </c>
      <c r="H41" s="552" t="s">
        <v>290</v>
      </c>
      <c r="I41" s="439"/>
      <c r="J41" s="440"/>
      <c r="L41" s="426"/>
      <c r="M41" s="426"/>
      <c r="N41" s="426"/>
      <c r="O41" s="626"/>
      <c r="P41" s="403"/>
      <c r="Q41" s="365"/>
      <c r="R41" s="623"/>
      <c r="S41" s="462"/>
      <c r="T41" s="361"/>
    </row>
    <row r="42" spans="1:28" ht="20.100000000000001" customHeight="1">
      <c r="G42" s="551" t="s">
        <v>282</v>
      </c>
      <c r="H42" s="552" t="s">
        <v>290</v>
      </c>
      <c r="I42" s="424"/>
      <c r="J42" s="546"/>
      <c r="L42" s="441"/>
      <c r="M42" s="441"/>
      <c r="N42" s="441"/>
      <c r="O42" s="626"/>
      <c r="P42" s="403"/>
      <c r="Q42" s="365"/>
      <c r="R42" s="623"/>
      <c r="S42" s="462"/>
      <c r="T42" s="555"/>
    </row>
    <row r="43" spans="1:28" ht="20.100000000000001" customHeight="1">
      <c r="G43" s="551" t="s">
        <v>283</v>
      </c>
      <c r="H43" s="552" t="s">
        <v>290</v>
      </c>
      <c r="I43" s="424"/>
      <c r="J43" s="546"/>
      <c r="L43" s="441"/>
      <c r="M43" s="441"/>
      <c r="N43" s="441"/>
      <c r="O43" s="626"/>
      <c r="P43" s="403"/>
      <c r="Q43" s="365"/>
      <c r="R43" s="623"/>
      <c r="S43" s="462"/>
    </row>
    <row r="44" spans="1:28" ht="20.100000000000001" customHeight="1">
      <c r="G44" s="551" t="s">
        <v>305</v>
      </c>
      <c r="H44" s="552" t="s">
        <v>290</v>
      </c>
      <c r="I44" s="424"/>
      <c r="J44" s="546"/>
      <c r="L44" s="441"/>
      <c r="M44" s="441"/>
      <c r="N44" s="441"/>
      <c r="O44" s="626"/>
      <c r="P44" s="403"/>
      <c r="Q44" s="365"/>
      <c r="R44" s="623"/>
      <c r="S44" s="462"/>
    </row>
    <row r="45" spans="1:28" ht="20.100000000000001" customHeight="1">
      <c r="G45" s="551" t="s">
        <v>318</v>
      </c>
      <c r="H45" s="552" t="s">
        <v>290</v>
      </c>
      <c r="I45" s="424"/>
      <c r="J45" s="546"/>
      <c r="L45" s="441"/>
      <c r="M45" s="441"/>
      <c r="N45" s="441"/>
      <c r="O45" s="626"/>
      <c r="P45" s="403"/>
      <c r="Q45" s="365"/>
      <c r="R45" s="623"/>
      <c r="S45" s="462"/>
    </row>
    <row r="46" spans="1:28" ht="20.100000000000001" customHeight="1" thickBot="1">
      <c r="G46" s="551" t="s">
        <v>284</v>
      </c>
      <c r="H46" s="552" t="s">
        <v>290</v>
      </c>
      <c r="I46" s="545"/>
      <c r="J46" s="456">
        <f>100-SUM(J41:J45)</f>
        <v>100</v>
      </c>
      <c r="L46" s="443"/>
      <c r="M46" s="443"/>
      <c r="N46" s="443"/>
      <c r="O46" s="443"/>
      <c r="P46" s="443"/>
      <c r="Q46" s="443"/>
      <c r="R46" s="443"/>
      <c r="S46" s="462"/>
    </row>
    <row r="47" spans="1:28" s="354" customFormat="1" ht="30" customHeight="1">
      <c r="A47"/>
      <c r="B47"/>
      <c r="C47"/>
      <c r="D47"/>
      <c r="E47"/>
      <c r="G47" s="470" t="s">
        <v>320</v>
      </c>
      <c r="H47" s="470"/>
      <c r="I47" s="470"/>
      <c r="J47" s="470"/>
      <c r="K47" s="470"/>
      <c r="L47" s="470"/>
      <c r="M47" s="470"/>
      <c r="N47" s="470"/>
      <c r="O47" s="470"/>
      <c r="P47" s="470"/>
      <c r="Q47" s="470"/>
      <c r="R47" s="470"/>
      <c r="S47" s="462"/>
      <c r="T47"/>
      <c r="U47" s="555"/>
      <c r="V47" s="555"/>
      <c r="W47" s="555"/>
      <c r="X47" s="555"/>
      <c r="Y47" s="555"/>
      <c r="Z47" s="555"/>
      <c r="AA47" s="555"/>
      <c r="AB47" s="555"/>
    </row>
    <row r="48" spans="1:28" ht="20.100000000000001" customHeight="1">
      <c r="G48" s="399" t="s">
        <v>321</v>
      </c>
      <c r="S48" s="462"/>
    </row>
    <row r="49" spans="2:23" ht="20.100000000000001" customHeight="1" thickBot="1">
      <c r="G49" s="399" t="s">
        <v>315</v>
      </c>
      <c r="S49" s="462" t="s">
        <v>171</v>
      </c>
    </row>
    <row r="50" spans="2:23" ht="20.100000000000001" customHeight="1">
      <c r="C50" s="354"/>
      <c r="D50" s="354"/>
      <c r="E50" s="354"/>
      <c r="G50" s="735" t="s">
        <v>163</v>
      </c>
      <c r="H50" s="736" t="s">
        <v>164</v>
      </c>
      <c r="I50" s="372" t="s">
        <v>165</v>
      </c>
      <c r="J50" s="373" t="s">
        <v>166</v>
      </c>
      <c r="L50" s="401" t="s">
        <v>168</v>
      </c>
      <c r="M50" s="401" t="s">
        <v>169</v>
      </c>
      <c r="N50" s="401" t="s">
        <v>170</v>
      </c>
      <c r="O50" s="375" t="s">
        <v>168</v>
      </c>
      <c r="P50" s="375" t="s">
        <v>166</v>
      </c>
      <c r="Q50" s="375" t="s">
        <v>169</v>
      </c>
      <c r="R50" s="375" t="s">
        <v>170</v>
      </c>
      <c r="S50" s="462" t="s">
        <v>171</v>
      </c>
      <c r="W50" s="186"/>
    </row>
    <row r="51" spans="2:23" ht="20.100000000000001" customHeight="1">
      <c r="B51" s="354"/>
      <c r="G51" s="444" t="s">
        <v>149</v>
      </c>
      <c r="H51" s="523"/>
      <c r="I51" s="524"/>
      <c r="J51" s="525"/>
      <c r="L51" s="538"/>
      <c r="M51" s="538"/>
      <c r="N51" s="538"/>
      <c r="O51" s="538"/>
      <c r="P51" s="538"/>
      <c r="Q51" s="538"/>
      <c r="R51" s="538"/>
      <c r="S51" s="462" t="s">
        <v>171</v>
      </c>
    </row>
    <row r="52" spans="2:23" ht="20.100000000000001" customHeight="1">
      <c r="G52" s="382" t="s">
        <v>148</v>
      </c>
      <c r="H52" s="423" t="s">
        <v>290</v>
      </c>
      <c r="I52" s="427"/>
      <c r="J52" s="454"/>
      <c r="L52" s="428"/>
      <c r="M52" s="428"/>
      <c r="N52" s="428"/>
      <c r="O52" s="624"/>
      <c r="P52" s="394"/>
      <c r="Q52" s="368"/>
      <c r="R52" s="622"/>
      <c r="S52" s="462" t="s">
        <v>171</v>
      </c>
    </row>
    <row r="53" spans="2:23" ht="20.100000000000001" customHeight="1">
      <c r="G53" s="382" t="s">
        <v>129</v>
      </c>
      <c r="H53" s="423" t="s">
        <v>290</v>
      </c>
      <c r="I53" s="427"/>
      <c r="J53" s="454"/>
      <c r="L53" s="428"/>
      <c r="M53" s="428"/>
      <c r="N53" s="428"/>
      <c r="O53" s="624"/>
      <c r="P53" s="394"/>
      <c r="Q53" s="368"/>
      <c r="R53" s="622"/>
      <c r="S53" s="462" t="s">
        <v>171</v>
      </c>
      <c r="T53" s="361"/>
    </row>
    <row r="54" spans="2:23" ht="20.100000000000001" customHeight="1">
      <c r="G54" s="382" t="s">
        <v>322</v>
      </c>
      <c r="H54" s="423" t="s">
        <v>290</v>
      </c>
      <c r="I54" s="427"/>
      <c r="J54" s="454"/>
      <c r="L54" s="428"/>
      <c r="M54" s="428"/>
      <c r="N54" s="428"/>
      <c r="O54" s="624"/>
      <c r="P54" s="394"/>
      <c r="Q54" s="368"/>
      <c r="R54" s="622"/>
      <c r="S54" s="462" t="s">
        <v>171</v>
      </c>
      <c r="T54" s="361"/>
    </row>
    <row r="55" spans="2:23" ht="20.100000000000001" customHeight="1">
      <c r="G55" s="382" t="s">
        <v>323</v>
      </c>
      <c r="H55" s="423" t="s">
        <v>290</v>
      </c>
      <c r="I55" s="455">
        <f>100-SUM(I52:I54)</f>
        <v>100</v>
      </c>
      <c r="J55" s="456">
        <f>100-SUM(J52:J54)</f>
        <v>100</v>
      </c>
      <c r="L55" s="443"/>
      <c r="M55" s="443"/>
      <c r="N55" s="443"/>
      <c r="O55" s="443"/>
      <c r="P55" s="443"/>
      <c r="Q55" s="443"/>
      <c r="R55" s="443"/>
      <c r="S55" s="462" t="s">
        <v>171</v>
      </c>
    </row>
    <row r="56" spans="2:23" ht="20.100000000000001" customHeight="1">
      <c r="G56" s="551" t="s">
        <v>324</v>
      </c>
      <c r="H56" s="552" t="s">
        <v>290</v>
      </c>
      <c r="I56" s="424"/>
      <c r="J56" s="546"/>
      <c r="L56" s="441"/>
      <c r="M56" s="441"/>
      <c r="N56" s="441"/>
      <c r="O56" s="626"/>
      <c r="P56" s="403"/>
      <c r="Q56" s="365"/>
      <c r="R56" s="623"/>
      <c r="S56" s="462" t="s">
        <v>171</v>
      </c>
    </row>
    <row r="57" spans="2:23" ht="20.100000000000001" customHeight="1">
      <c r="G57" s="551" t="s">
        <v>325</v>
      </c>
      <c r="H57" s="552" t="s">
        <v>290</v>
      </c>
      <c r="I57" s="424"/>
      <c r="J57" s="546"/>
      <c r="L57" s="441"/>
      <c r="M57" s="441"/>
      <c r="N57" s="441"/>
      <c r="O57" s="626"/>
      <c r="P57" s="403"/>
      <c r="Q57" s="365"/>
      <c r="R57" s="623"/>
      <c r="S57" s="462" t="s">
        <v>171</v>
      </c>
    </row>
    <row r="58" spans="2:23" ht="20.100000000000001" customHeight="1">
      <c r="G58" s="551" t="s">
        <v>284</v>
      </c>
      <c r="H58" s="552" t="s">
        <v>290</v>
      </c>
      <c r="I58" s="455">
        <f>100-SUM(I56:I57)</f>
        <v>100</v>
      </c>
      <c r="J58" s="456">
        <f>100-SUM(J56:J57)</f>
        <v>100</v>
      </c>
      <c r="L58" s="443"/>
      <c r="M58" s="443"/>
      <c r="N58" s="443"/>
      <c r="O58" s="443"/>
      <c r="P58" s="443"/>
      <c r="Q58" s="443"/>
      <c r="R58" s="443"/>
      <c r="S58" s="462" t="s">
        <v>171</v>
      </c>
    </row>
    <row r="59" spans="2:23" ht="20.100000000000001" customHeight="1">
      <c r="G59" s="444" t="s">
        <v>150</v>
      </c>
      <c r="H59" s="523"/>
      <c r="I59" s="524"/>
      <c r="J59" s="525"/>
      <c r="L59" s="538"/>
      <c r="M59" s="538"/>
      <c r="N59" s="538"/>
      <c r="O59" s="538"/>
      <c r="P59" s="538"/>
      <c r="Q59" s="538"/>
      <c r="R59" s="538"/>
      <c r="S59" s="462" t="s">
        <v>171</v>
      </c>
    </row>
    <row r="60" spans="2:23" ht="20.100000000000001" customHeight="1">
      <c r="G60" s="382" t="s">
        <v>148</v>
      </c>
      <c r="H60" s="423" t="s">
        <v>290</v>
      </c>
      <c r="I60" s="427"/>
      <c r="J60" s="454"/>
      <c r="L60" s="428"/>
      <c r="M60" s="428"/>
      <c r="N60" s="428"/>
      <c r="O60" s="624"/>
      <c r="P60" s="394"/>
      <c r="Q60" s="368"/>
      <c r="R60" s="622"/>
      <c r="S60" s="462" t="s">
        <v>171</v>
      </c>
    </row>
    <row r="61" spans="2:23" ht="20.100000000000001" customHeight="1">
      <c r="G61" s="382" t="s">
        <v>129</v>
      </c>
      <c r="H61" s="423" t="s">
        <v>290</v>
      </c>
      <c r="I61" s="427"/>
      <c r="J61" s="454"/>
      <c r="L61" s="428"/>
      <c r="M61" s="428"/>
      <c r="N61" s="428"/>
      <c r="O61" s="624"/>
      <c r="P61" s="394"/>
      <c r="Q61" s="368"/>
      <c r="R61" s="622"/>
      <c r="S61" s="462" t="s">
        <v>171</v>
      </c>
    </row>
    <row r="62" spans="2:23" ht="20.100000000000001" customHeight="1">
      <c r="G62" s="382" t="s">
        <v>322</v>
      </c>
      <c r="H62" s="423" t="s">
        <v>290</v>
      </c>
      <c r="I62" s="427"/>
      <c r="J62" s="454"/>
      <c r="L62" s="428"/>
      <c r="M62" s="428"/>
      <c r="N62" s="428"/>
      <c r="O62" s="624"/>
      <c r="P62" s="394"/>
      <c r="Q62" s="368"/>
      <c r="R62" s="622"/>
      <c r="S62" s="462" t="s">
        <v>171</v>
      </c>
      <c r="W62" s="553"/>
    </row>
    <row r="63" spans="2:23" ht="20.100000000000001" customHeight="1">
      <c r="G63" s="382" t="s">
        <v>323</v>
      </c>
      <c r="H63" s="423" t="s">
        <v>290</v>
      </c>
      <c r="I63" s="455">
        <f>100-SUM(I60:I62)</f>
        <v>100</v>
      </c>
      <c r="J63" s="456">
        <f>100-SUM(J60:J62)</f>
        <v>100</v>
      </c>
      <c r="L63" s="443"/>
      <c r="M63" s="443"/>
      <c r="N63" s="443"/>
      <c r="O63" s="443"/>
      <c r="P63" s="443"/>
      <c r="Q63" s="443"/>
      <c r="R63" s="443"/>
      <c r="S63" s="462" t="s">
        <v>171</v>
      </c>
    </row>
    <row r="64" spans="2:23" ht="20.100000000000001" customHeight="1">
      <c r="G64" s="551" t="s">
        <v>324</v>
      </c>
      <c r="H64" s="552" t="s">
        <v>290</v>
      </c>
      <c r="I64" s="424"/>
      <c r="J64" s="546"/>
      <c r="L64" s="441"/>
      <c r="M64" s="441"/>
      <c r="N64" s="441"/>
      <c r="O64" s="626"/>
      <c r="P64" s="403"/>
      <c r="Q64" s="365"/>
      <c r="R64" s="623"/>
      <c r="S64" s="462" t="s">
        <v>171</v>
      </c>
    </row>
    <row r="65" spans="7:20" ht="20.100000000000001" customHeight="1">
      <c r="G65" s="551" t="s">
        <v>325</v>
      </c>
      <c r="H65" s="552" t="s">
        <v>290</v>
      </c>
      <c r="I65" s="424"/>
      <c r="J65" s="546"/>
      <c r="L65" s="441"/>
      <c r="M65" s="441"/>
      <c r="N65" s="441"/>
      <c r="O65" s="626"/>
      <c r="P65" s="403"/>
      <c r="Q65" s="365"/>
      <c r="R65" s="623"/>
      <c r="S65" s="462" t="s">
        <v>171</v>
      </c>
    </row>
    <row r="66" spans="7:20" ht="20.100000000000001" customHeight="1">
      <c r="G66" s="551" t="s">
        <v>284</v>
      </c>
      <c r="H66" s="552" t="s">
        <v>290</v>
      </c>
      <c r="I66" s="455">
        <f>100-SUM(I64:I65)</f>
        <v>100</v>
      </c>
      <c r="J66" s="456">
        <f>100-SUM(J64:J65)</f>
        <v>100</v>
      </c>
      <c r="L66" s="443"/>
      <c r="M66" s="443"/>
      <c r="N66" s="443"/>
      <c r="O66" s="443"/>
      <c r="P66" s="443"/>
      <c r="Q66" s="443"/>
      <c r="R66" s="443"/>
      <c r="S66" s="462" t="s">
        <v>171</v>
      </c>
      <c r="T66" s="361"/>
    </row>
    <row r="67" spans="7:20" ht="20.100000000000001" customHeight="1">
      <c r="G67" s="444" t="s">
        <v>151</v>
      </c>
      <c r="H67" s="523"/>
      <c r="I67" s="524"/>
      <c r="J67" s="525"/>
      <c r="L67" s="538"/>
      <c r="M67" s="538"/>
      <c r="N67" s="538"/>
      <c r="O67" s="538"/>
      <c r="P67" s="538"/>
      <c r="Q67" s="538"/>
      <c r="R67" s="538"/>
      <c r="S67" s="462" t="s">
        <v>171</v>
      </c>
    </row>
    <row r="68" spans="7:20" ht="20.100000000000001" customHeight="1">
      <c r="G68" s="382" t="s">
        <v>148</v>
      </c>
      <c r="H68" s="423" t="s">
        <v>290</v>
      </c>
      <c r="I68" s="427"/>
      <c r="J68" s="454"/>
      <c r="L68" s="428"/>
      <c r="M68" s="428"/>
      <c r="N68" s="428"/>
      <c r="O68" s="624"/>
      <c r="P68" s="394"/>
      <c r="Q68" s="368"/>
      <c r="R68" s="622"/>
      <c r="S68" s="462" t="s">
        <v>171</v>
      </c>
    </row>
    <row r="69" spans="7:20" ht="20.100000000000001" customHeight="1">
      <c r="G69" s="382" t="s">
        <v>129</v>
      </c>
      <c r="H69" s="423" t="s">
        <v>290</v>
      </c>
      <c r="I69" s="427"/>
      <c r="J69" s="454"/>
      <c r="L69" s="428"/>
      <c r="M69" s="428"/>
      <c r="N69" s="428"/>
      <c r="O69" s="624"/>
      <c r="P69" s="394"/>
      <c r="Q69" s="368"/>
      <c r="R69" s="622"/>
      <c r="S69" s="462" t="s">
        <v>171</v>
      </c>
      <c r="T69" s="361"/>
    </row>
    <row r="70" spans="7:20" ht="20.100000000000001" customHeight="1">
      <c r="G70" s="382" t="s">
        <v>322</v>
      </c>
      <c r="H70" s="423" t="s">
        <v>290</v>
      </c>
      <c r="I70" s="427"/>
      <c r="J70" s="454"/>
      <c r="L70" s="428"/>
      <c r="M70" s="428"/>
      <c r="N70" s="428"/>
      <c r="O70" s="624"/>
      <c r="P70" s="394"/>
      <c r="Q70" s="368"/>
      <c r="R70" s="622"/>
      <c r="S70" s="462" t="s">
        <v>171</v>
      </c>
    </row>
    <row r="71" spans="7:20" ht="20.100000000000001" customHeight="1">
      <c r="G71" s="382" t="s">
        <v>323</v>
      </c>
      <c r="H71" s="423" t="s">
        <v>290</v>
      </c>
      <c r="I71" s="455">
        <f>100-SUM(I68:I70)</f>
        <v>100</v>
      </c>
      <c r="J71" s="456">
        <f>100-SUM(J68:J70)</f>
        <v>100</v>
      </c>
      <c r="L71" s="443"/>
      <c r="M71" s="443"/>
      <c r="N71" s="443"/>
      <c r="O71" s="443"/>
      <c r="P71" s="443"/>
      <c r="Q71" s="443"/>
      <c r="R71" s="443"/>
      <c r="S71" s="462" t="s">
        <v>171</v>
      </c>
    </row>
    <row r="72" spans="7:20" ht="20.100000000000001" customHeight="1">
      <c r="G72" s="551" t="s">
        <v>324</v>
      </c>
      <c r="H72" s="552" t="s">
        <v>290</v>
      </c>
      <c r="I72" s="424"/>
      <c r="J72" s="546"/>
      <c r="L72" s="441"/>
      <c r="M72" s="441"/>
      <c r="N72" s="441"/>
      <c r="O72" s="626"/>
      <c r="P72" s="403"/>
      <c r="Q72" s="365"/>
      <c r="R72" s="623"/>
      <c r="S72" s="462" t="s">
        <v>171</v>
      </c>
    </row>
    <row r="73" spans="7:20" ht="20.100000000000001" customHeight="1">
      <c r="G73" s="551" t="s">
        <v>325</v>
      </c>
      <c r="H73" s="552" t="s">
        <v>290</v>
      </c>
      <c r="I73" s="424"/>
      <c r="J73" s="546"/>
      <c r="L73" s="441"/>
      <c r="M73" s="441"/>
      <c r="N73" s="441"/>
      <c r="O73" s="626"/>
      <c r="P73" s="403"/>
      <c r="Q73" s="365"/>
      <c r="R73" s="623"/>
      <c r="S73" s="462" t="s">
        <v>171</v>
      </c>
    </row>
    <row r="74" spans="7:20" ht="20.100000000000001" customHeight="1">
      <c r="G74" s="551" t="s">
        <v>284</v>
      </c>
      <c r="H74" s="552" t="s">
        <v>290</v>
      </c>
      <c r="I74" s="455">
        <f>100-SUM(I72:I73)</f>
        <v>100</v>
      </c>
      <c r="J74" s="456">
        <f>100-SUM(J72:J73)</f>
        <v>100</v>
      </c>
      <c r="L74" s="443"/>
      <c r="M74" s="443"/>
      <c r="N74" s="443"/>
      <c r="O74" s="443"/>
      <c r="P74" s="443"/>
      <c r="Q74" s="443"/>
      <c r="R74" s="443"/>
      <c r="S74" s="462" t="s">
        <v>171</v>
      </c>
    </row>
    <row r="75" spans="7:20" ht="20.100000000000001" customHeight="1">
      <c r="S75" s="462" t="s">
        <v>171</v>
      </c>
    </row>
  </sheetData>
  <mergeCells count="1">
    <mergeCell ref="C5:D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sheetPr>
  <dimension ref="B1:AB50"/>
  <sheetViews>
    <sheetView showGridLines="0" zoomScale="80" zoomScaleNormal="80" workbookViewId="0">
      <selection activeCell="K42" sqref="K42"/>
    </sheetView>
  </sheetViews>
  <sheetFormatPr defaultColWidth="9.140625" defaultRowHeight="14.45"/>
  <cols>
    <col min="1" max="1" width="3.7109375" customWidth="1"/>
    <col min="2" max="2" width="3.5703125" customWidth="1"/>
    <col min="3" max="3" width="10.5703125" customWidth="1"/>
    <col min="4" max="4" width="29.42578125" bestFit="1" customWidth="1"/>
    <col min="5" max="5" width="3.5703125" customWidth="1"/>
    <col min="6" max="6" width="3.7109375" customWidth="1"/>
    <col min="7" max="7" width="40.5703125" style="399" customWidth="1"/>
    <col min="8" max="8" width="10.5703125" customWidth="1"/>
    <col min="9" max="9" width="17.7109375" customWidth="1"/>
    <col min="10" max="10" width="15.5703125" customWidth="1"/>
    <col min="11" max="11" width="15.5703125" style="353" customWidth="1"/>
    <col min="12" max="12" width="5.7109375" customWidth="1"/>
    <col min="13" max="13" width="20.5703125" customWidth="1"/>
    <col min="14" max="14" width="10.5703125" customWidth="1"/>
    <col min="15" max="15" width="5.7109375" customWidth="1"/>
    <col min="16" max="16" width="20.5703125" customWidth="1"/>
    <col min="17" max="18" width="10.5703125" customWidth="1"/>
    <col min="19" max="19" width="5.5703125" customWidth="1"/>
    <col min="20" max="20" width="5.7109375" customWidth="1"/>
    <col min="21" max="21" width="23.140625" customWidth="1"/>
    <col min="22" max="22" width="38.28515625" bestFit="1" customWidth="1"/>
    <col min="23" max="23" width="16" customWidth="1"/>
    <col min="24" max="24" width="9.42578125" customWidth="1"/>
    <col min="30" max="30" width="53.85546875" customWidth="1"/>
    <col min="37" max="37" width="39.140625" customWidth="1"/>
  </cols>
  <sheetData>
    <row r="1" spans="2:28" ht="50.1" customHeight="1">
      <c r="G1" s="558" t="s">
        <v>326</v>
      </c>
      <c r="H1" s="369"/>
      <c r="I1" s="369"/>
      <c r="J1" s="369"/>
      <c r="K1" s="710"/>
      <c r="L1" s="369"/>
      <c r="M1" s="369"/>
      <c r="N1" s="369"/>
      <c r="O1" s="369"/>
      <c r="P1" s="369"/>
      <c r="Q1" s="369"/>
      <c r="R1" s="369"/>
      <c r="S1" s="369"/>
    </row>
    <row r="2" spans="2:28" ht="30" customHeight="1">
      <c r="B2" s="353"/>
      <c r="C2" s="353"/>
      <c r="D2" s="353"/>
      <c r="E2" s="353"/>
      <c r="G2" s="470" t="s">
        <v>327</v>
      </c>
      <c r="H2" s="511"/>
      <c r="I2" s="511"/>
      <c r="J2" s="511"/>
      <c r="K2" s="512"/>
      <c r="L2" s="511"/>
      <c r="M2" s="511"/>
      <c r="N2" s="511"/>
      <c r="O2" s="511"/>
      <c r="P2" s="511"/>
      <c r="Q2" s="511"/>
      <c r="R2" s="511"/>
      <c r="S2" s="511"/>
      <c r="T2" s="511"/>
      <c r="U2" s="511"/>
      <c r="V2" s="511"/>
      <c r="W2" s="511"/>
      <c r="X2" s="511"/>
      <c r="Y2" s="511"/>
      <c r="Z2" s="511"/>
      <c r="AA2" s="511"/>
      <c r="AB2" s="511"/>
    </row>
    <row r="3" spans="2:28" ht="20.100000000000001" customHeight="1" thickBot="1">
      <c r="G3" s="399" t="s">
        <v>315</v>
      </c>
    </row>
    <row r="4" spans="2:28" ht="20.100000000000001" customHeight="1">
      <c r="B4" s="647"/>
      <c r="C4" s="917" t="s">
        <v>162</v>
      </c>
      <c r="D4" s="917"/>
      <c r="E4" s="657"/>
      <c r="G4" s="735" t="s">
        <v>163</v>
      </c>
      <c r="H4" s="736" t="s">
        <v>164</v>
      </c>
      <c r="I4" s="372" t="s">
        <v>165</v>
      </c>
      <c r="J4" s="373" t="s">
        <v>166</v>
      </c>
      <c r="K4" s="656" t="s">
        <v>167</v>
      </c>
      <c r="M4" s="401" t="s">
        <v>168</v>
      </c>
      <c r="N4" s="401" t="s">
        <v>169</v>
      </c>
      <c r="O4" s="401" t="s">
        <v>170</v>
      </c>
      <c r="P4" s="375" t="s">
        <v>168</v>
      </c>
      <c r="Q4" s="375" t="s">
        <v>166</v>
      </c>
      <c r="R4" s="375" t="s">
        <v>169</v>
      </c>
      <c r="S4" s="375" t="s">
        <v>170</v>
      </c>
      <c r="T4" s="550"/>
      <c r="U4" s="362"/>
      <c r="V4" s="376" t="s">
        <v>181</v>
      </c>
    </row>
    <row r="5" spans="2:28" ht="20.100000000000001" customHeight="1" thickBot="1">
      <c r="B5" s="648"/>
      <c r="C5" s="918"/>
      <c r="D5" s="918"/>
      <c r="E5" s="658"/>
      <c r="G5" s="449" t="s">
        <v>129</v>
      </c>
      <c r="H5" s="559"/>
      <c r="I5" s="560"/>
      <c r="J5" s="561"/>
      <c r="K5" s="742"/>
      <c r="M5" s="562"/>
      <c r="N5" s="562"/>
      <c r="O5" s="562"/>
      <c r="P5" s="562"/>
      <c r="Q5" s="562"/>
      <c r="R5" s="562"/>
      <c r="S5" s="562"/>
      <c r="U5" s="384"/>
      <c r="V5" s="563" t="s">
        <v>222</v>
      </c>
    </row>
    <row r="6" spans="2:28" ht="20.100000000000001" customHeight="1" thickBot="1">
      <c r="B6" s="648"/>
      <c r="C6" s="756"/>
      <c r="D6" s="376" t="s">
        <v>174</v>
      </c>
      <c r="E6" s="649"/>
      <c r="G6" s="382" t="s">
        <v>328</v>
      </c>
      <c r="H6" s="564" t="s">
        <v>290</v>
      </c>
      <c r="I6" s="565"/>
      <c r="J6" s="757"/>
      <c r="K6" s="743">
        <v>4.1096923006950261</v>
      </c>
      <c r="M6" s="566"/>
      <c r="N6" s="566"/>
      <c r="O6" s="566"/>
      <c r="P6" s="624"/>
      <c r="Q6" s="394"/>
      <c r="R6" s="368"/>
      <c r="S6" s="622"/>
      <c r="T6" s="416"/>
      <c r="U6" s="386"/>
      <c r="V6" s="376" t="s">
        <v>186</v>
      </c>
    </row>
    <row r="7" spans="2:28" ht="20.100000000000001" customHeight="1">
      <c r="B7" s="648"/>
      <c r="C7" s="755"/>
      <c r="D7" s="376" t="s">
        <v>177</v>
      </c>
      <c r="E7" s="649"/>
      <c r="G7" s="382" t="s">
        <v>329</v>
      </c>
      <c r="H7" s="564" t="s">
        <v>290</v>
      </c>
      <c r="I7" s="565"/>
      <c r="J7" s="757"/>
      <c r="K7" s="743">
        <v>22.6</v>
      </c>
      <c r="M7" s="567"/>
      <c r="N7" s="567"/>
      <c r="O7" s="567"/>
      <c r="P7" s="624"/>
      <c r="Q7" s="394"/>
      <c r="R7" s="368"/>
      <c r="S7" s="622"/>
      <c r="T7" s="353"/>
      <c r="U7" s="389"/>
      <c r="V7" s="376" t="s">
        <v>188</v>
      </c>
    </row>
    <row r="8" spans="2:28" ht="20.100000000000001" customHeight="1">
      <c r="B8" s="648"/>
      <c r="C8" s="655"/>
      <c r="D8" s="376" t="s">
        <v>167</v>
      </c>
      <c r="E8" s="649"/>
      <c r="G8" s="382" t="s">
        <v>330</v>
      </c>
      <c r="H8" s="564" t="s">
        <v>290</v>
      </c>
      <c r="I8" s="565"/>
      <c r="J8" s="757"/>
      <c r="K8" s="743">
        <v>4.0554215224555108</v>
      </c>
      <c r="M8" s="568"/>
      <c r="N8" s="568"/>
      <c r="O8" s="568"/>
      <c r="P8" s="624"/>
      <c r="Q8" s="394"/>
      <c r="R8" s="368"/>
      <c r="S8" s="622"/>
      <c r="T8" s="569"/>
    </row>
    <row r="9" spans="2:28" ht="20.100000000000001" customHeight="1">
      <c r="B9" s="648"/>
      <c r="C9" s="362"/>
      <c r="D9" s="376" t="s">
        <v>181</v>
      </c>
      <c r="E9" s="649"/>
      <c r="G9" s="382" t="s">
        <v>331</v>
      </c>
      <c r="H9" s="564"/>
      <c r="I9" s="570"/>
      <c r="J9" s="758"/>
      <c r="K9" s="744"/>
      <c r="M9" s="571"/>
      <c r="N9" s="571"/>
      <c r="O9" s="571"/>
      <c r="P9" s="624"/>
      <c r="Q9" s="394"/>
      <c r="R9" s="368"/>
      <c r="S9" s="622"/>
      <c r="T9" s="572"/>
    </row>
    <row r="10" spans="2:28" ht="20.100000000000001" customHeight="1">
      <c r="B10" s="648"/>
      <c r="C10" s="384"/>
      <c r="D10" s="376" t="s">
        <v>184</v>
      </c>
      <c r="E10" s="649"/>
      <c r="G10" s="382" t="s">
        <v>332</v>
      </c>
      <c r="H10" s="564" t="s">
        <v>290</v>
      </c>
      <c r="I10" s="565"/>
      <c r="J10" s="757"/>
      <c r="K10" s="743">
        <v>0</v>
      </c>
      <c r="M10" s="571"/>
      <c r="N10" s="571"/>
      <c r="O10" s="571"/>
      <c r="P10" s="624"/>
      <c r="Q10" s="394"/>
      <c r="R10" s="368"/>
      <c r="S10" s="622"/>
      <c r="T10" s="572"/>
    </row>
    <row r="11" spans="2:28" ht="20.100000000000001" customHeight="1">
      <c r="B11" s="648"/>
      <c r="C11" s="386"/>
      <c r="D11" s="376" t="s">
        <v>186</v>
      </c>
      <c r="E11" s="649"/>
      <c r="G11" s="382" t="s">
        <v>333</v>
      </c>
      <c r="H11" s="564" t="s">
        <v>290</v>
      </c>
      <c r="I11" s="565"/>
      <c r="J11" s="757"/>
      <c r="K11" s="743">
        <v>2</v>
      </c>
      <c r="M11" s="568"/>
      <c r="N11" s="568"/>
      <c r="O11" s="568"/>
      <c r="P11" s="624"/>
      <c r="Q11" s="394"/>
      <c r="R11" s="368"/>
      <c r="S11" s="622"/>
      <c r="T11" s="569"/>
    </row>
    <row r="12" spans="2:28" ht="20.100000000000001" customHeight="1">
      <c r="B12" s="648"/>
      <c r="C12" s="389"/>
      <c r="D12" s="376" t="s">
        <v>188</v>
      </c>
      <c r="E12" s="649"/>
      <c r="G12" s="449" t="s">
        <v>271</v>
      </c>
      <c r="H12" s="573"/>
      <c r="I12" s="574"/>
      <c r="J12" s="759"/>
      <c r="K12" s="745"/>
      <c r="M12" s="562"/>
      <c r="N12" s="562"/>
      <c r="O12" s="562"/>
      <c r="P12" s="562"/>
      <c r="Q12" s="562"/>
      <c r="R12" s="562"/>
      <c r="S12" s="562"/>
      <c r="T12" s="572"/>
    </row>
    <row r="13" spans="2:28" ht="20.100000000000001" customHeight="1">
      <c r="B13" s="648"/>
      <c r="D13" s="376"/>
      <c r="E13" s="649"/>
      <c r="G13" s="382" t="s">
        <v>334</v>
      </c>
      <c r="H13" s="564" t="s">
        <v>290</v>
      </c>
      <c r="I13" s="565"/>
      <c r="J13" s="757"/>
      <c r="K13" s="743">
        <v>5.7</v>
      </c>
      <c r="M13" s="362"/>
      <c r="N13" s="362"/>
      <c r="O13" s="362"/>
      <c r="P13" s="624"/>
      <c r="Q13" s="394"/>
      <c r="R13" s="368"/>
      <c r="S13" s="622"/>
      <c r="AB13" s="400"/>
    </row>
    <row r="14" spans="2:28" ht="20.100000000000001" customHeight="1">
      <c r="B14" s="648"/>
      <c r="C14" s="752" t="s">
        <v>190</v>
      </c>
      <c r="D14" s="646" t="s">
        <v>191</v>
      </c>
      <c r="E14" s="650" t="s">
        <v>171</v>
      </c>
      <c r="G14" s="382" t="s">
        <v>330</v>
      </c>
      <c r="H14" s="564" t="s">
        <v>290</v>
      </c>
      <c r="I14" s="557"/>
      <c r="J14" s="757"/>
      <c r="K14" s="743">
        <v>16.399999999999999</v>
      </c>
      <c r="M14" s="362"/>
      <c r="N14" s="362"/>
      <c r="O14" s="362"/>
      <c r="P14" s="624"/>
      <c r="Q14" s="394"/>
      <c r="R14" s="368"/>
      <c r="S14" s="622"/>
    </row>
    <row r="15" spans="2:28" ht="20.100000000000001" customHeight="1">
      <c r="B15" s="648"/>
      <c r="C15" s="753" t="s">
        <v>190</v>
      </c>
      <c r="D15" s="376" t="s">
        <v>192</v>
      </c>
      <c r="E15" s="649"/>
      <c r="G15" s="449" t="s">
        <v>335</v>
      </c>
      <c r="H15" s="573"/>
      <c r="I15" s="574"/>
      <c r="J15" s="759"/>
      <c r="K15" s="745"/>
      <c r="M15" s="562"/>
      <c r="N15" s="562"/>
      <c r="O15" s="562"/>
      <c r="P15" s="562"/>
      <c r="Q15" s="562"/>
      <c r="R15" s="562"/>
      <c r="S15" s="562"/>
    </row>
    <row r="16" spans="2:28" ht="20.100000000000001" customHeight="1">
      <c r="B16" s="648"/>
      <c r="C16" s="754" t="s">
        <v>190</v>
      </c>
      <c r="D16" s="376" t="s">
        <v>194</v>
      </c>
      <c r="E16" s="649"/>
      <c r="G16" s="382" t="s">
        <v>334</v>
      </c>
      <c r="H16" s="564" t="s">
        <v>290</v>
      </c>
      <c r="I16" s="565"/>
      <c r="J16" s="757"/>
      <c r="K16" s="743">
        <v>5</v>
      </c>
      <c r="M16" s="362"/>
      <c r="N16" s="362"/>
      <c r="O16" s="362"/>
      <c r="P16" s="624"/>
      <c r="Q16" s="394"/>
      <c r="R16" s="368"/>
      <c r="S16" s="622"/>
    </row>
    <row r="17" spans="2:27" ht="20.100000000000001" customHeight="1" thickBot="1">
      <c r="B17" s="651"/>
      <c r="C17" s="652"/>
      <c r="D17" s="652"/>
      <c r="E17" s="653"/>
      <c r="G17" s="382" t="s">
        <v>330</v>
      </c>
      <c r="H17" s="564" t="s">
        <v>290</v>
      </c>
      <c r="I17" s="565"/>
      <c r="J17" s="757"/>
      <c r="K17" s="743">
        <v>9</v>
      </c>
      <c r="M17" s="362"/>
      <c r="N17" s="362"/>
      <c r="O17" s="362"/>
      <c r="P17" s="624"/>
      <c r="Q17" s="394"/>
      <c r="R17" s="368"/>
      <c r="S17" s="622"/>
    </row>
    <row r="18" spans="2:27" ht="20.100000000000001" customHeight="1">
      <c r="G18" s="449" t="s">
        <v>319</v>
      </c>
      <c r="H18" s="573"/>
      <c r="I18" s="574"/>
      <c r="J18" s="759"/>
      <c r="K18" s="745"/>
      <c r="M18" s="562"/>
      <c r="N18" s="562"/>
      <c r="O18" s="562"/>
      <c r="P18" s="562"/>
      <c r="Q18" s="562"/>
      <c r="R18" s="562"/>
      <c r="S18" s="562"/>
    </row>
    <row r="19" spans="2:27" ht="20.100000000000001" customHeight="1">
      <c r="G19" s="382" t="s">
        <v>336</v>
      </c>
      <c r="H19" s="564" t="s">
        <v>290</v>
      </c>
      <c r="I19" s="565"/>
      <c r="J19" s="757"/>
      <c r="K19" s="743">
        <v>0</v>
      </c>
      <c r="M19" s="362"/>
      <c r="N19" s="362"/>
      <c r="O19" s="362"/>
      <c r="P19" s="624"/>
      <c r="Q19" s="394"/>
      <c r="R19" s="368"/>
      <c r="S19" s="622"/>
    </row>
    <row r="20" spans="2:27" ht="20.100000000000001" customHeight="1">
      <c r="G20" s="382" t="s">
        <v>337</v>
      </c>
      <c r="H20" s="564" t="s">
        <v>290</v>
      </c>
      <c r="I20" s="565"/>
      <c r="J20" s="757"/>
      <c r="K20" s="743">
        <v>1</v>
      </c>
      <c r="M20" s="362"/>
      <c r="N20" s="362"/>
      <c r="O20" s="362"/>
      <c r="P20" s="624"/>
      <c r="Q20" s="394"/>
      <c r="R20" s="368"/>
      <c r="S20" s="622"/>
    </row>
    <row r="21" spans="2:27" ht="20.100000000000001" customHeight="1">
      <c r="G21" s="449" t="s">
        <v>148</v>
      </c>
      <c r="H21" s="573"/>
      <c r="I21" s="574"/>
      <c r="J21" s="759"/>
      <c r="K21" s="745"/>
      <c r="M21" s="562"/>
      <c r="N21" s="562"/>
      <c r="O21" s="562"/>
      <c r="P21" s="562"/>
      <c r="Q21" s="562"/>
      <c r="R21" s="562"/>
      <c r="S21" s="562"/>
    </row>
    <row r="22" spans="2:27" ht="20.100000000000001" customHeight="1">
      <c r="G22" s="382" t="s">
        <v>328</v>
      </c>
      <c r="H22" s="564" t="s">
        <v>290</v>
      </c>
      <c r="I22" s="575"/>
      <c r="J22" s="760"/>
      <c r="K22" s="571">
        <v>2.8</v>
      </c>
      <c r="M22" s="362"/>
      <c r="N22" s="362"/>
      <c r="O22" s="362"/>
      <c r="P22" s="624"/>
      <c r="Q22" s="394"/>
      <c r="R22" s="368"/>
      <c r="S22" s="622"/>
    </row>
    <row r="23" spans="2:27" ht="20.100000000000001" customHeight="1">
      <c r="G23" s="382" t="s">
        <v>329</v>
      </c>
      <c r="H23" s="564" t="s">
        <v>290</v>
      </c>
      <c r="I23" s="575"/>
      <c r="J23" s="760"/>
      <c r="K23" s="571">
        <v>2.7</v>
      </c>
      <c r="M23" s="362"/>
      <c r="N23" s="362"/>
      <c r="O23" s="362"/>
      <c r="P23" s="624"/>
      <c r="Q23" s="394"/>
      <c r="R23" s="368"/>
      <c r="S23" s="622"/>
    </row>
    <row r="24" spans="2:27" ht="20.100000000000001" customHeight="1" thickBot="1">
      <c r="G24" s="382" t="s">
        <v>330</v>
      </c>
      <c r="H24" s="564" t="s">
        <v>290</v>
      </c>
      <c r="I24" s="576"/>
      <c r="J24" s="760"/>
      <c r="K24" s="571">
        <v>0</v>
      </c>
      <c r="M24" s="362"/>
      <c r="N24" s="362"/>
      <c r="O24" s="362"/>
      <c r="P24" s="624"/>
      <c r="Q24" s="394"/>
      <c r="R24" s="368"/>
      <c r="S24" s="622"/>
    </row>
    <row r="25" spans="2:27" ht="30" customHeight="1">
      <c r="G25" s="470" t="s">
        <v>338</v>
      </c>
      <c r="H25" s="513"/>
      <c r="I25" s="513"/>
      <c r="J25" s="513"/>
      <c r="K25" s="356"/>
      <c r="L25" s="513"/>
      <c r="M25" s="513"/>
      <c r="N25" s="513"/>
      <c r="O25" s="513"/>
      <c r="P25" s="513"/>
      <c r="Q25" s="513"/>
      <c r="R25" s="513"/>
      <c r="S25" s="513"/>
      <c r="T25" s="513"/>
      <c r="U25" s="513"/>
      <c r="V25" s="513"/>
      <c r="W25" s="513"/>
      <c r="X25" s="513"/>
      <c r="Y25" s="513"/>
      <c r="Z25" s="513"/>
      <c r="AA25" s="513"/>
    </row>
    <row r="26" spans="2:27" ht="20.100000000000001" customHeight="1" thickBot="1">
      <c r="G26" s="399" t="s">
        <v>339</v>
      </c>
    </row>
    <row r="27" spans="2:27" ht="20.100000000000001" customHeight="1">
      <c r="G27" s="735" t="s">
        <v>163</v>
      </c>
      <c r="H27" s="736" t="s">
        <v>164</v>
      </c>
      <c r="I27" s="372" t="s">
        <v>165</v>
      </c>
      <c r="J27" s="373" t="s">
        <v>166</v>
      </c>
      <c r="K27" s="656" t="s">
        <v>167</v>
      </c>
      <c r="M27" s="401" t="s">
        <v>168</v>
      </c>
      <c r="N27" s="401" t="s">
        <v>169</v>
      </c>
      <c r="O27" s="401" t="s">
        <v>170</v>
      </c>
      <c r="P27" s="375" t="s">
        <v>168</v>
      </c>
      <c r="Q27" s="375" t="s">
        <v>166</v>
      </c>
      <c r="R27" s="375" t="s">
        <v>169</v>
      </c>
      <c r="S27" s="375" t="s">
        <v>170</v>
      </c>
      <c r="V27" s="186"/>
    </row>
    <row r="28" spans="2:27" ht="20.100000000000001" customHeight="1">
      <c r="G28" s="449" t="s">
        <v>152</v>
      </c>
      <c r="H28" s="577"/>
      <c r="I28" s="578"/>
      <c r="J28" s="579"/>
      <c r="K28" s="742"/>
      <c r="M28" s="562"/>
      <c r="N28" s="562"/>
      <c r="O28" s="562"/>
      <c r="P28" s="562"/>
      <c r="Q28" s="562"/>
      <c r="R28" s="562"/>
      <c r="S28" s="562"/>
    </row>
    <row r="29" spans="2:27" ht="20.100000000000001" customHeight="1">
      <c r="G29" s="382" t="s">
        <v>148</v>
      </c>
      <c r="H29" s="580" t="s">
        <v>290</v>
      </c>
      <c r="I29" s="581"/>
      <c r="J29" s="582"/>
      <c r="K29" s="566"/>
      <c r="L29" s="416"/>
      <c r="M29" s="362"/>
      <c r="N29" s="362"/>
      <c r="O29" s="362"/>
      <c r="P29" s="624"/>
      <c r="Q29" s="394"/>
      <c r="R29" s="368"/>
      <c r="S29" s="622"/>
    </row>
    <row r="30" spans="2:27" ht="20.100000000000001" customHeight="1">
      <c r="G30" s="382" t="s">
        <v>129</v>
      </c>
      <c r="H30" s="580" t="s">
        <v>290</v>
      </c>
      <c r="I30" s="581"/>
      <c r="J30" s="582"/>
      <c r="K30" s="567"/>
      <c r="L30" s="353"/>
      <c r="M30" s="362"/>
      <c r="N30" s="362"/>
      <c r="O30" s="362"/>
      <c r="P30" s="624"/>
      <c r="Q30" s="394"/>
      <c r="R30" s="368"/>
      <c r="S30" s="622"/>
    </row>
    <row r="31" spans="2:27" ht="20.100000000000001" customHeight="1">
      <c r="G31" s="382" t="s">
        <v>322</v>
      </c>
      <c r="H31" s="580" t="s">
        <v>290</v>
      </c>
      <c r="I31" s="581"/>
      <c r="J31" s="582"/>
      <c r="K31" s="571"/>
      <c r="L31" s="569"/>
      <c r="M31" s="362"/>
      <c r="N31" s="362"/>
      <c r="O31" s="362"/>
      <c r="P31" s="624"/>
      <c r="Q31" s="394"/>
      <c r="R31" s="368"/>
      <c r="S31" s="622"/>
    </row>
    <row r="32" spans="2:27" ht="20.100000000000001" customHeight="1">
      <c r="G32" s="382" t="s">
        <v>323</v>
      </c>
      <c r="H32" s="580" t="s">
        <v>290</v>
      </c>
      <c r="I32" s="583">
        <f>100-SUM(I29:I30)</f>
        <v>100</v>
      </c>
      <c r="J32" s="584">
        <f>100-SUM(J33:J34)</f>
        <v>100</v>
      </c>
      <c r="K32" s="746">
        <f>100-SUM(K29:K30)</f>
        <v>100</v>
      </c>
      <c r="L32" s="572"/>
      <c r="M32" s="386"/>
      <c r="N32" s="386"/>
      <c r="O32" s="386"/>
      <c r="P32" s="386"/>
      <c r="Q32" s="386"/>
      <c r="R32" s="386"/>
      <c r="S32" s="386"/>
    </row>
    <row r="33" spans="7:19" ht="20.100000000000001" customHeight="1">
      <c r="G33" s="556" t="s">
        <v>324</v>
      </c>
      <c r="H33" s="580" t="s">
        <v>290</v>
      </c>
      <c r="I33" s="585"/>
      <c r="J33" s="586"/>
      <c r="K33" s="571"/>
      <c r="L33" s="572"/>
      <c r="M33" s="362"/>
      <c r="N33" s="362"/>
      <c r="O33" s="362"/>
      <c r="P33" s="624"/>
      <c r="Q33" s="394"/>
      <c r="R33" s="368"/>
      <c r="S33" s="622"/>
    </row>
    <row r="34" spans="7:19" ht="20.100000000000001" customHeight="1">
      <c r="G34" s="556" t="s">
        <v>325</v>
      </c>
      <c r="H34" s="580" t="s">
        <v>290</v>
      </c>
      <c r="I34" s="581"/>
      <c r="J34" s="582"/>
      <c r="K34" s="571"/>
      <c r="L34" s="569"/>
      <c r="M34" s="362"/>
      <c r="N34" s="362"/>
      <c r="O34" s="362"/>
      <c r="P34" s="624"/>
      <c r="Q34" s="394"/>
      <c r="R34" s="368"/>
      <c r="S34" s="622"/>
    </row>
    <row r="35" spans="7:19" ht="20.100000000000001" customHeight="1" thickBot="1">
      <c r="G35" s="556" t="s">
        <v>284</v>
      </c>
      <c r="H35" s="580" t="s">
        <v>290</v>
      </c>
      <c r="I35" s="587">
        <f>100-SUM(I33:I34)</f>
        <v>100</v>
      </c>
      <c r="J35" s="584">
        <f>100-SUM(J33:J34)</f>
        <v>100</v>
      </c>
      <c r="K35" s="746">
        <f>100-SUM(K33:K34)</f>
        <v>100</v>
      </c>
      <c r="M35" s="386"/>
      <c r="N35" s="386"/>
      <c r="O35" s="386"/>
      <c r="P35" s="386"/>
      <c r="Q35" s="386"/>
      <c r="R35" s="386"/>
      <c r="S35" s="386"/>
    </row>
    <row r="36" spans="7:19" ht="20.100000000000001" customHeight="1">
      <c r="I36" s="4"/>
      <c r="J36" s="4"/>
    </row>
    <row r="49" spans="2:5" ht="15.6">
      <c r="C49" s="354"/>
      <c r="D49" s="354"/>
      <c r="E49" s="354"/>
    </row>
    <row r="50" spans="2:5" ht="15.6">
      <c r="B50" s="354"/>
    </row>
  </sheetData>
  <mergeCells count="1">
    <mergeCell ref="C4:D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6ce997-9d9e-4bb9-afa8-10dad0d80dd7" xsi:nil="true"/>
    <lcf76f155ced4ddcb4097134ff3c332f xmlns="627cecca-c113-4d72-b51c-2c572741f10a">
      <Terms xmlns="http://schemas.microsoft.com/office/infopath/2007/PartnerControls"/>
    </lcf76f155ced4ddcb4097134ff3c332f>
    <Adaugatde xmlns="627cecca-c113-4d72-b51c-2c572741f10a">
      <UserInfo>
        <DisplayName/>
        <AccountId xsi:nil="true"/>
        <AccountType/>
      </UserInfo>
    </Adaugatde>
    <SharedWithUsers xmlns="b46ce997-9d9e-4bb9-afa8-10dad0d80dd7">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DC4A183420C74EB9ED09541AE16515" ma:contentTypeVersion="19" ma:contentTypeDescription="Create a new document." ma:contentTypeScope="" ma:versionID="e84db0d4f9ab6c0cd8ce5a4651d5e10d">
  <xsd:schema xmlns:xsd="http://www.w3.org/2001/XMLSchema" xmlns:xs="http://www.w3.org/2001/XMLSchema" xmlns:p="http://schemas.microsoft.com/office/2006/metadata/properties" xmlns:ns2="627cecca-c113-4d72-b51c-2c572741f10a" xmlns:ns3="b46ce997-9d9e-4bb9-afa8-10dad0d80dd7" targetNamespace="http://schemas.microsoft.com/office/2006/metadata/properties" ma:root="true" ma:fieldsID="9030a2468a0d3d4b86722f0af70f20ef" ns2:_="" ns3:_="">
    <xsd:import namespace="627cecca-c113-4d72-b51c-2c572741f10a"/>
    <xsd:import namespace="b46ce997-9d9e-4bb9-afa8-10dad0d80d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ObjectDetectorVersions" minOccurs="0"/>
                <xsd:element ref="ns2:MediaLengthInSeconds" minOccurs="0"/>
                <xsd:element ref="ns2:MediaServiceSearchProperties" minOccurs="0"/>
                <xsd:element ref="ns2:Adaugat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cecca-c113-4d72-b51c-2c572741f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d4a4384-8771-4db4-a8b8-df0fba6cdf4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daugatde" ma:index="25" nillable="true" ma:displayName="Adaugat de" ma:format="Dropdown" ma:list="UserInfo" ma:SharePointGroup="0" ma:internalName="Adaugatd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ce997-9d9e-4bb9-afa8-10dad0d80d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e7a7629-c3db-4203-b654-43c39e665271}" ma:internalName="TaxCatchAll" ma:showField="CatchAllData" ma:web="b46ce997-9d9e-4bb9-afa8-10dad0d80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97DE76-E27A-41B6-9415-3B498AC0B0A0}"/>
</file>

<file path=customXml/itemProps2.xml><?xml version="1.0" encoding="utf-8"?>
<ds:datastoreItem xmlns:ds="http://schemas.openxmlformats.org/officeDocument/2006/customXml" ds:itemID="{D1AF3BA0-3B55-4540-BD28-4A214C244A9A}"/>
</file>

<file path=customXml/itemProps3.xml><?xml version="1.0" encoding="utf-8"?>
<ds:datastoreItem xmlns:ds="http://schemas.openxmlformats.org/officeDocument/2006/customXml" ds:itemID="{230E7811-D871-4B10-822B-EB26B36B8C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Hainoun Ali;Sebastian.Stortecky@ait.ac.at</dc:creator>
  <cp:keywords/>
  <dc:description/>
  <cp:lastModifiedBy>Baskot Ana</cp:lastModifiedBy>
  <cp:revision/>
  <dcterms:created xsi:type="dcterms:W3CDTF">2018-12-06T15:08:28Z</dcterms:created>
  <dcterms:modified xsi:type="dcterms:W3CDTF">2026-02-03T10:43:56Z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0x0101008EDC4A183420C74EB9ED09541AE16515</vt:lpwstr>
  </property>
  <property fmtid="{D5CDD505-2E9C-101B-9397-08002B2CF9AE}" pid="3" name="Order">
    <vt:r8>8000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